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\TERREMOTO-2026\Espectros\"/>
    </mc:Choice>
  </mc:AlternateContent>
  <xr:revisionPtr revIDLastSave="0" documentId="8_{017B776C-414A-4F82-9A13-4B35976D6FD0}" xr6:coauthVersionLast="47" xr6:coauthVersionMax="47" xr10:uidLastSave="{00000000-0000-0000-0000-000000000000}"/>
  <bookViews>
    <workbookView xWindow="-120" yWindow="-120" windowWidth="20640" windowHeight="11040" activeTab="1" xr2:uid="{AE62FF10-0533-46A8-994A-30E9FD20DBE5}"/>
  </bookViews>
  <sheets>
    <sheet name="INICIO" sheetId="1" r:id="rId1"/>
    <sheet name="2026-PSA-ARMEC" sheetId="2" r:id="rId2"/>
    <sheet name="2026-PSA-CIRS" sheetId="3" r:id="rId3"/>
    <sheet name="2026-PSA-FLND" sheetId="4" r:id="rId4"/>
    <sheet name="2026-PSA-PEREIRA" sheetId="5" r:id="rId5"/>
    <sheet name="2026-PSA-MAN1C" sheetId="6" r:id="rId6"/>
    <sheet name="ESPECTRO_NSR10" sheetId="7" r:id="rId7"/>
    <sheet name="Micro_Armenia" sheetId="9" r:id="rId8"/>
    <sheet name="Micro_Pereira" sheetId="11" r:id="rId9"/>
    <sheet name="Micro_Manizales" sheetId="12" r:id="rId10"/>
    <sheet name="ESPECTRO_CCP2014" sheetId="8" r:id="rId11"/>
    <sheet name="Micro_Bogotá_ESPEC" sheetId="10" r:id="rId12"/>
    <sheet name="BD_Municipios" sheetId="13" r:id="rId13"/>
  </sheets>
  <externalReferences>
    <externalReference r:id="rId14"/>
  </externalReferences>
  <definedNames>
    <definedName name="Aa">ESPECTRO_NSR10!$B$6</definedName>
    <definedName name="AaARM" localSheetId="10">Micro_Armenia!$B$8</definedName>
    <definedName name="AaARM">Micro_Armenia!$B$8</definedName>
    <definedName name="AaBOG" localSheetId="10">Micro_Bogotá_ESPEC!$H$9</definedName>
    <definedName name="AaBOG">Micro_Bogotá_ESPEC!$H$9</definedName>
    <definedName name="AaPER">Micro_Pereira!$B$8</definedName>
    <definedName name="alpha" localSheetId="10">INICIO!$E$46</definedName>
    <definedName name="alpha">INICIO!$E$46</definedName>
    <definedName name="Amazonas">BD_Municipios!$A$3:$A$13</definedName>
    <definedName name="AmMAN">Micro_Manizales!$B$8</definedName>
    <definedName name="AnMAN">Micro_Manizales!$B$9</definedName>
    <definedName name="Antioquia">BD_Municipios!$A$15:$A$139</definedName>
    <definedName name="Ao">Micro_Bogotá_ESPEC!$B$9</definedName>
    <definedName name="AoBOG">Micro_Bogotá_ESPEC!$B$9</definedName>
    <definedName name="Arauca">BD_Municipios!$A$141:$A$147</definedName>
    <definedName name="_xlnm.Print_Area" localSheetId="10">ESPECTRO_CCP2014!$A$1:$L$52</definedName>
    <definedName name="_xlnm.Print_Area" localSheetId="6">ESPECTRO_NSR10!$A$1:$L$54</definedName>
    <definedName name="_xlnm.Print_Area" localSheetId="7">Micro_Armenia!$A$1:$I$49</definedName>
    <definedName name="_xlnm.Print_Area" localSheetId="11">Micro_Bogotá_ESPEC!$A$1:$M$49</definedName>
    <definedName name="_xlnm.Print_Area" localSheetId="9">Micro_Manizales!$A$1:$I$49</definedName>
    <definedName name="_xlnm.Print_Area" localSheetId="8">Micro_Pereira!$A$1:$I$49</definedName>
    <definedName name="Atlántico">BD_Municipios!$A$152:$A$174</definedName>
    <definedName name="Av">ESPECTRO_NSR10!$B$7</definedName>
    <definedName name="AvBOG" localSheetId="10">Micro_Bogotá_ESPEC!$H$10</definedName>
    <definedName name="AvBOG">Micro_Bogotá_ESPEC!$H$10</definedName>
    <definedName name="Bolívar">BD_Municipios!$A$176:$A$220</definedName>
    <definedName name="Boyacá">BD_Municipios!$A$222:$A$344</definedName>
    <definedName name="Caldas">BD_Municipios!$A$346:$A$372</definedName>
    <definedName name="Caquetá">BD_Municipios!$A$374:$A$389</definedName>
    <definedName name="Casanare">BD_Municipios!$A$391:$A$409</definedName>
    <definedName name="Cauca">BD_Municipios!$A$411:$A$451</definedName>
    <definedName name="Cesar">BD_Municipios!$A$453:$A$477</definedName>
    <definedName name="Chocó">BD_Municipios!$A$479:$A$509</definedName>
    <definedName name="Córdoba">BD_Municipios!$A$511:$A$538</definedName>
    <definedName name="Ct" localSheetId="10">INICIO!$E$45</definedName>
    <definedName name="Ct">INICIO!$E$45</definedName>
    <definedName name="Cundinamarca">BD_Municipios!$A$540:$A$656</definedName>
    <definedName name="Departamento" localSheetId="10">BD_Municipios!$L$2:$L$34</definedName>
    <definedName name="Departamento">BD_Municipios!$L$2:$L$34</definedName>
    <definedName name="Distrito">BD_Municipios!$A$658</definedName>
    <definedName name="Fa">ESPECTRO_NSR10!$B$8</definedName>
    <definedName name="FaARM" localSheetId="10">Micro_Armenia!$B$9</definedName>
    <definedName name="FaARM">Micro_Armenia!$B$9</definedName>
    <definedName name="FaBOG" localSheetId="10">Micro_Bogotá_ESPEC!$B$10</definedName>
    <definedName name="FaBOG">Micro_Bogotá_ESPEC!$B$10</definedName>
    <definedName name="FaMAN">Micro_Manizales!$B$10</definedName>
    <definedName name="Fap">ESPECTRO_CCP2014!$F$6</definedName>
    <definedName name="FaPER">Micro_Pereira!$B$9</definedName>
    <definedName name="Fpga">ESPECTRO_CCP2014!$F$5</definedName>
    <definedName name="Fv">ESPECTRO_NSR10!$B$9</definedName>
    <definedName name="FvARM" localSheetId="10">Micro_Armenia!$B$10</definedName>
    <definedName name="FvARM">Micro_Armenia!$B$10</definedName>
    <definedName name="FvBOG" localSheetId="10">Micro_Bogotá_ESPEC!$B$11</definedName>
    <definedName name="FvBOG">Micro_Bogotá_ESPEC!$B$11</definedName>
    <definedName name="FvMAN">Micro_Manizales!$B$11</definedName>
    <definedName name="Fvp">ESPECTRO_CCP2014!$F$7</definedName>
    <definedName name="FvPER">Micro_Pereira!$B$10</definedName>
    <definedName name="Guainía">BD_Municipios!$A$660:$A$668</definedName>
    <definedName name="Guaviare">BD_Municipios!$A$686:$A$689</definedName>
    <definedName name="H">INICIO!$B$15</definedName>
    <definedName name="Huila">BD_Municipios!$A$691:$A$727</definedName>
    <definedName name="I">ESPECTRO_NSR10!$B$10</definedName>
    <definedName name="IBOG" localSheetId="10">Micro_Bogotá_ESPEC!$E$11</definedName>
    <definedName name="IBOG">Micro_Bogotá_ESPEC!$E$11</definedName>
    <definedName name="L" localSheetId="10">INICIO!$B$17</definedName>
    <definedName name="L">INICIO!$B$17</definedName>
    <definedName name="La_Guajira">BD_Municipios!$A$670:$A$684</definedName>
    <definedName name="Magdalena">BD_Municipios!$A$729:$A$758</definedName>
    <definedName name="Meta">BD_Municipios!$A$760:$A$788</definedName>
    <definedName name="Nariño">BD_Municipios!$A$790:$A$852</definedName>
    <definedName name="Norte_De_Santander">BD_Municipios!$A$854:$A$893</definedName>
    <definedName name="PGA">ESPECTRO_CCP2014!$B$5</definedName>
    <definedName name="Putumayo">BD_Municipios!$A$895:$A$907</definedName>
    <definedName name="Quindío">BD_Municipios!$A$909:$A$920</definedName>
    <definedName name="Risaralda">BD_Municipios!$A$922:$A$935</definedName>
    <definedName name="Rsis" localSheetId="10">'[1]CORTANTE BASAL (Y)'!$B$6</definedName>
    <definedName name="Rsis">'[1]CORTANTE BASAL (Y)'!$B$6</definedName>
    <definedName name="S_1">ESPECTRO_CCP2014!$B$7</definedName>
    <definedName name="Sa" localSheetId="10">Micro_Bogotá_ESPEC!$B$15:$B$50</definedName>
    <definedName name="Sa">Micro_Bogotá_ESPEC!$B$15:$B$50</definedName>
    <definedName name="San_Andrés">BD_Municipios!$A$149:$A$150</definedName>
    <definedName name="Santander">BD_Municipios!$A$937:$A$1023</definedName>
    <definedName name="Sared" localSheetId="10">Micro_Bogotá_ESPEC!$D$15:$D$50</definedName>
    <definedName name="Sared">Micro_Bogotá_ESPEC!$D$15:$D$50</definedName>
    <definedName name="Ss">ESPECTRO_CCP2014!$B$6</definedName>
    <definedName name="Sucre">BD_Municipios!$A$1025:$A$1049</definedName>
    <definedName name="T" localSheetId="10">ESPECTRO_CCP2014!$A$11:$A$63</definedName>
    <definedName name="T">ESPECTRO_NSR10!$A$13:$A$65</definedName>
    <definedName name="T_MAN">Micro_Manizales!$A$14:$A$49</definedName>
    <definedName name="TBOG" localSheetId="10">Micro_Bogotá_ESPEC!$A$15:$A$50</definedName>
    <definedName name="TBOG">Micro_Bogotá_ESPEC!$A$15:$A$50</definedName>
    <definedName name="Tc">ESPECTRO_NSR10!$E$9</definedName>
    <definedName name="TcBOG" localSheetId="10">Micro_Bogotá_ESPEC!$E$9</definedName>
    <definedName name="TcBOG">Micro_Bogotá_ESPEC!$E$9</definedName>
    <definedName name="TcMAN">Micro_Manizales!$E$9</definedName>
    <definedName name="Tl">ESPECTRO_NSR10!$E$10</definedName>
    <definedName name="TlBOG" localSheetId="10">Micro_Bogotá_ESPEC!$E$10</definedName>
    <definedName name="TlBOG">Micro_Bogotá_ESPEC!$E$10</definedName>
    <definedName name="TlMAN">Micro_Manizales!$E$10</definedName>
    <definedName name="To">ESPECTRO_NSR10!$E$8</definedName>
    <definedName name="Tolima">BD_Municipios!$A$1051:$A$1097</definedName>
    <definedName name="ToMAN">Micro_Manizales!$E$8</definedName>
    <definedName name="Top">ESPECTRO_CCP2014!$I$5</definedName>
    <definedName name="Tsp">ESPECTRO_CCP2014!$I$6</definedName>
    <definedName name="Valle">BD_Municipios!$A$1099:$A$1140</definedName>
    <definedName name="Vaupés">BD_Municipios!$A$1142:$A$1147</definedName>
    <definedName name="Vichada">BD_Municipios!$A$1149:$A$1152</definedName>
    <definedName name="W" localSheetId="10">INICIO!$B$16</definedName>
    <definedName name="W">INICIO!$B$16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1152" i="13" l="1"/>
  <c r="B1151" i="13"/>
  <c r="B1150" i="13"/>
  <c r="B1149" i="13"/>
  <c r="B1148" i="13"/>
  <c r="D1148" i="13" s="1"/>
  <c r="B1147" i="13"/>
  <c r="B1146" i="13"/>
  <c r="B1145" i="13"/>
  <c r="B1144" i="13"/>
  <c r="B1143" i="13"/>
  <c r="B1142" i="13"/>
  <c r="B1141" i="13"/>
  <c r="D1141" i="13" s="1"/>
  <c r="B1140" i="13"/>
  <c r="B1139" i="13"/>
  <c r="B1138" i="13"/>
  <c r="B1137" i="13"/>
  <c r="B1136" i="13"/>
  <c r="B1135" i="13"/>
  <c r="B1134" i="13"/>
  <c r="B1133" i="13"/>
  <c r="B1132" i="13"/>
  <c r="B1131" i="13"/>
  <c r="B1130" i="13"/>
  <c r="B1129" i="13"/>
  <c r="B1128" i="13"/>
  <c r="B1127" i="13"/>
  <c r="B1126" i="13"/>
  <c r="B1125" i="13"/>
  <c r="B1124" i="13"/>
  <c r="B1123" i="13"/>
  <c r="B1122" i="13"/>
  <c r="B1121" i="13"/>
  <c r="B1120" i="13"/>
  <c r="B1119" i="13"/>
  <c r="B1118" i="13"/>
  <c r="B1117" i="13"/>
  <c r="B1116" i="13"/>
  <c r="B1115" i="13"/>
  <c r="B1114" i="13"/>
  <c r="B1113" i="13"/>
  <c r="B1112" i="13"/>
  <c r="B1111" i="13"/>
  <c r="B1110" i="13"/>
  <c r="B1109" i="13"/>
  <c r="B1108" i="13"/>
  <c r="B1107" i="13"/>
  <c r="B1106" i="13"/>
  <c r="B1105" i="13"/>
  <c r="B1104" i="13"/>
  <c r="B1103" i="13"/>
  <c r="B1102" i="13"/>
  <c r="B1101" i="13"/>
  <c r="B1100" i="13"/>
  <c r="B1099" i="13"/>
  <c r="D1098" i="13"/>
  <c r="C1098" i="13"/>
  <c r="C1099" i="13" s="1"/>
  <c r="C1100" i="13" s="1"/>
  <c r="B1098" i="13"/>
  <c r="B1097" i="13"/>
  <c r="B1096" i="13"/>
  <c r="B1095" i="13"/>
  <c r="B1094" i="13"/>
  <c r="B1093" i="13"/>
  <c r="B1092" i="13"/>
  <c r="B1091" i="13"/>
  <c r="B1090" i="13"/>
  <c r="B1089" i="13"/>
  <c r="B1088" i="13"/>
  <c r="B1087" i="13"/>
  <c r="B1086" i="13"/>
  <c r="B1085" i="13"/>
  <c r="B1084" i="13"/>
  <c r="B1083" i="13"/>
  <c r="B1082" i="13"/>
  <c r="B1081" i="13"/>
  <c r="B1080" i="13"/>
  <c r="B1079" i="13"/>
  <c r="B1078" i="13"/>
  <c r="B1077" i="13"/>
  <c r="B1076" i="13"/>
  <c r="B1075" i="13"/>
  <c r="B1074" i="13"/>
  <c r="B1073" i="13"/>
  <c r="B1072" i="13"/>
  <c r="B1071" i="13"/>
  <c r="B1070" i="13"/>
  <c r="B1069" i="13"/>
  <c r="B1068" i="13"/>
  <c r="B1067" i="13"/>
  <c r="B1066" i="13"/>
  <c r="B1065" i="13"/>
  <c r="B1064" i="13"/>
  <c r="B1063" i="13"/>
  <c r="B1062" i="13"/>
  <c r="B1061" i="13"/>
  <c r="B1060" i="13"/>
  <c r="B1059" i="13"/>
  <c r="B1058" i="13"/>
  <c r="B1057" i="13"/>
  <c r="B1056" i="13"/>
  <c r="B1055" i="13"/>
  <c r="B1054" i="13"/>
  <c r="B1053" i="13"/>
  <c r="B1052" i="13"/>
  <c r="B1051" i="13"/>
  <c r="D1050" i="13"/>
  <c r="C1050" i="13"/>
  <c r="C1051" i="13" s="1"/>
  <c r="C1052" i="13" s="1"/>
  <c r="B1050" i="13"/>
  <c r="B1049" i="13"/>
  <c r="B1048" i="13"/>
  <c r="B1047" i="13"/>
  <c r="B1046" i="13"/>
  <c r="B1045" i="13"/>
  <c r="B1044" i="13"/>
  <c r="B1043" i="13"/>
  <c r="B1042" i="13"/>
  <c r="B1041" i="13"/>
  <c r="B1040" i="13"/>
  <c r="B1039" i="13"/>
  <c r="B1038" i="13"/>
  <c r="B1037" i="13"/>
  <c r="B1036" i="13"/>
  <c r="B1035" i="13"/>
  <c r="B1034" i="13"/>
  <c r="B1033" i="13"/>
  <c r="B1032" i="13"/>
  <c r="B1031" i="13"/>
  <c r="B1030" i="13"/>
  <c r="B1029" i="13"/>
  <c r="B1028" i="13"/>
  <c r="B1027" i="13"/>
  <c r="B1026" i="13"/>
  <c r="B1025" i="13"/>
  <c r="B1024" i="13"/>
  <c r="D1024" i="13" s="1"/>
  <c r="B1023" i="13"/>
  <c r="B1022" i="13"/>
  <c r="B1021" i="13"/>
  <c r="B1020" i="13"/>
  <c r="B1019" i="13"/>
  <c r="B1018" i="13"/>
  <c r="B1017" i="13"/>
  <c r="B1016" i="13"/>
  <c r="B1015" i="13"/>
  <c r="B1014" i="13"/>
  <c r="B1013" i="13"/>
  <c r="B1012" i="13"/>
  <c r="B1011" i="13"/>
  <c r="B1010" i="13"/>
  <c r="B1009" i="13"/>
  <c r="B1008" i="13"/>
  <c r="B1007" i="13"/>
  <c r="B1006" i="13"/>
  <c r="B1005" i="13"/>
  <c r="B1004" i="13"/>
  <c r="B1003" i="13"/>
  <c r="B1002" i="13"/>
  <c r="B1001" i="13"/>
  <c r="B1000" i="13"/>
  <c r="B999" i="13"/>
  <c r="B998" i="13"/>
  <c r="B997" i="13"/>
  <c r="B996" i="13"/>
  <c r="B995" i="13"/>
  <c r="B994" i="13"/>
  <c r="B993" i="13"/>
  <c r="B992" i="13"/>
  <c r="B991" i="13"/>
  <c r="B990" i="13"/>
  <c r="B989" i="13"/>
  <c r="B988" i="13"/>
  <c r="B987" i="13"/>
  <c r="B986" i="13"/>
  <c r="B985" i="13"/>
  <c r="B984" i="13"/>
  <c r="B983" i="13"/>
  <c r="B982" i="13"/>
  <c r="B981" i="13"/>
  <c r="B980" i="13"/>
  <c r="B979" i="13"/>
  <c r="B978" i="13"/>
  <c r="B977" i="13"/>
  <c r="B976" i="13"/>
  <c r="B975" i="13"/>
  <c r="B974" i="13"/>
  <c r="B973" i="13"/>
  <c r="B972" i="13"/>
  <c r="B971" i="13"/>
  <c r="B970" i="13"/>
  <c r="B969" i="13"/>
  <c r="B968" i="13"/>
  <c r="B967" i="13"/>
  <c r="B966" i="13"/>
  <c r="B965" i="13"/>
  <c r="B964" i="13"/>
  <c r="B963" i="13"/>
  <c r="B962" i="13"/>
  <c r="B961" i="13"/>
  <c r="B960" i="13"/>
  <c r="B959" i="13"/>
  <c r="B958" i="13"/>
  <c r="B957" i="13"/>
  <c r="B956" i="13"/>
  <c r="B955" i="13"/>
  <c r="B954" i="13"/>
  <c r="B953" i="13"/>
  <c r="B952" i="13"/>
  <c r="B951" i="13"/>
  <c r="B950" i="13"/>
  <c r="B949" i="13"/>
  <c r="B948" i="13"/>
  <c r="B947" i="13"/>
  <c r="B946" i="13"/>
  <c r="B945" i="13"/>
  <c r="B944" i="13"/>
  <c r="B943" i="13"/>
  <c r="B942" i="13"/>
  <c r="B941" i="13"/>
  <c r="B940" i="13"/>
  <c r="B939" i="13"/>
  <c r="B938" i="13"/>
  <c r="B937" i="13"/>
  <c r="D936" i="13"/>
  <c r="B936" i="13"/>
  <c r="C936" i="13" s="1"/>
  <c r="B935" i="13"/>
  <c r="B934" i="13"/>
  <c r="B933" i="13"/>
  <c r="B932" i="13"/>
  <c r="B931" i="13"/>
  <c r="B930" i="13"/>
  <c r="B929" i="13"/>
  <c r="B928" i="13"/>
  <c r="B927" i="13"/>
  <c r="B926" i="13"/>
  <c r="B925" i="13"/>
  <c r="B924" i="13"/>
  <c r="B923" i="13"/>
  <c r="B922" i="13"/>
  <c r="C921" i="13"/>
  <c r="C922" i="13" s="1"/>
  <c r="B921" i="13"/>
  <c r="D921" i="13" s="1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C908" i="13"/>
  <c r="B908" i="13"/>
  <c r="D908" i="13" s="1"/>
  <c r="B907" i="13"/>
  <c r="B906" i="13"/>
  <c r="B905" i="13"/>
  <c r="B904" i="13"/>
  <c r="B903" i="13"/>
  <c r="B902" i="13"/>
  <c r="B901" i="13"/>
  <c r="B900" i="13"/>
  <c r="B899" i="13"/>
  <c r="B898" i="13"/>
  <c r="B897" i="13"/>
  <c r="B896" i="13"/>
  <c r="B895" i="13"/>
  <c r="D894" i="13"/>
  <c r="B894" i="13"/>
  <c r="C894" i="13" s="1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B865" i="13"/>
  <c r="B864" i="13"/>
  <c r="B863" i="13"/>
  <c r="B862" i="13"/>
  <c r="B861" i="13"/>
  <c r="B860" i="13"/>
  <c r="B859" i="13"/>
  <c r="B858" i="13"/>
  <c r="B857" i="13"/>
  <c r="B856" i="13"/>
  <c r="B855" i="13"/>
  <c r="B854" i="13"/>
  <c r="C853" i="13"/>
  <c r="B853" i="13"/>
  <c r="D853" i="13" s="1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D789" i="13" s="1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3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9" i="13"/>
  <c r="B738" i="13"/>
  <c r="B737" i="13"/>
  <c r="B736" i="13"/>
  <c r="B735" i="13"/>
  <c r="B734" i="13"/>
  <c r="B733" i="13"/>
  <c r="B732" i="13"/>
  <c r="B731" i="13"/>
  <c r="B730" i="13"/>
  <c r="C729" i="13"/>
  <c r="C730" i="13" s="1"/>
  <c r="B729" i="13"/>
  <c r="D728" i="13"/>
  <c r="B728" i="13"/>
  <c r="C728" i="13" s="1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D691" i="13"/>
  <c r="C691" i="13"/>
  <c r="B691" i="13"/>
  <c r="D690" i="13"/>
  <c r="C690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D659" i="13"/>
  <c r="C659" i="13"/>
  <c r="B659" i="13"/>
  <c r="C658" i="13"/>
  <c r="D658" i="13" s="1"/>
  <c r="B658" i="13"/>
  <c r="D657" i="13"/>
  <c r="C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C511" i="13"/>
  <c r="C512" i="13" s="1"/>
  <c r="B511" i="13"/>
  <c r="D510" i="13"/>
  <c r="C510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D478" i="13"/>
  <c r="C478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C452" i="13"/>
  <c r="C453" i="13" s="1"/>
  <c r="B452" i="13"/>
  <c r="D452" i="13" s="1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D410" i="13"/>
  <c r="B410" i="13"/>
  <c r="C410" i="13" s="1"/>
  <c r="C411" i="13" s="1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D390" i="13" s="1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C373" i="13"/>
  <c r="B373" i="13"/>
  <c r="D373" i="13" s="1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C345" i="13" s="1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C222" i="13"/>
  <c r="B222" i="13"/>
  <c r="D221" i="13"/>
  <c r="C221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D175" i="13" s="1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D151" i="13" s="1"/>
  <c r="B150" i="13"/>
  <c r="C149" i="13"/>
  <c r="B149" i="13"/>
  <c r="D148" i="13"/>
  <c r="C148" i="13"/>
  <c r="B147" i="13"/>
  <c r="B146" i="13"/>
  <c r="B145" i="13"/>
  <c r="B144" i="13"/>
  <c r="B143" i="13"/>
  <c r="B142" i="13"/>
  <c r="B141" i="13"/>
  <c r="B140" i="13"/>
  <c r="D140" i="13" s="1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D14" i="13"/>
  <c r="C14" i="13"/>
  <c r="B14" i="13"/>
  <c r="B13" i="13"/>
  <c r="B12" i="13"/>
  <c r="B11" i="13"/>
  <c r="B10" i="13"/>
  <c r="B9" i="13"/>
  <c r="B8" i="13"/>
  <c r="B7" i="13"/>
  <c r="B6" i="13"/>
  <c r="B5" i="13"/>
  <c r="B4" i="13"/>
  <c r="B3" i="13"/>
  <c r="D2" i="13"/>
  <c r="C2" i="13"/>
  <c r="B2" i="13"/>
  <c r="K17" i="12"/>
  <c r="A15" i="12"/>
  <c r="B14" i="12"/>
  <c r="E11" i="12"/>
  <c r="B11" i="12"/>
  <c r="E10" i="12"/>
  <c r="B10" i="12"/>
  <c r="E9" i="12"/>
  <c r="L36" i="12" s="1"/>
  <c r="B9" i="12"/>
  <c r="E8" i="12"/>
  <c r="B8" i="12"/>
  <c r="E4" i="12"/>
  <c r="D4" i="12"/>
  <c r="K16" i="11"/>
  <c r="E11" i="11"/>
  <c r="E10" i="11"/>
  <c r="B10" i="11"/>
  <c r="B9" i="11"/>
  <c r="B6" i="11"/>
  <c r="E4" i="11"/>
  <c r="D4" i="11"/>
  <c r="G52" i="10"/>
  <c r="G43" i="10"/>
  <c r="U15" i="10"/>
  <c r="AX9" i="10"/>
  <c r="Y10" i="10" s="1"/>
  <c r="AO9" i="10"/>
  <c r="P10" i="10" s="1"/>
  <c r="AV7" i="10"/>
  <c r="AN7" i="10"/>
  <c r="AX5" i="10"/>
  <c r="Y11" i="10" s="1"/>
  <c r="AP5" i="10"/>
  <c r="Q11" i="10" s="1"/>
  <c r="AN4" i="10" a="1"/>
  <c r="AZ9" i="10" s="1"/>
  <c r="AA10" i="10" s="1"/>
  <c r="E4" i="10"/>
  <c r="D4" i="10"/>
  <c r="E11" i="10" s="1"/>
  <c r="L36" i="9"/>
  <c r="L35" i="9"/>
  <c r="K26" i="9"/>
  <c r="E10" i="9"/>
  <c r="B10" i="9"/>
  <c r="E9" i="9"/>
  <c r="B9" i="9"/>
  <c r="E8" i="9"/>
  <c r="B8" i="9"/>
  <c r="D4" i="9"/>
  <c r="E4" i="9" s="1"/>
  <c r="D3" i="9"/>
  <c r="G46" i="8"/>
  <c r="G45" i="8"/>
  <c r="X34" i="8"/>
  <c r="N34" i="8"/>
  <c r="S33" i="8"/>
  <c r="R33" i="8"/>
  <c r="Q33" i="8"/>
  <c r="P33" i="8"/>
  <c r="O33" i="8"/>
  <c r="X27" i="8"/>
  <c r="U27" i="8"/>
  <c r="S23" i="8"/>
  <c r="R23" i="8"/>
  <c r="Q23" i="8"/>
  <c r="P23" i="8"/>
  <c r="O23" i="8"/>
  <c r="U17" i="8"/>
  <c r="X17" i="8" s="1"/>
  <c r="S13" i="8"/>
  <c r="R13" i="8"/>
  <c r="Q13" i="8"/>
  <c r="P13" i="8"/>
  <c r="O13" i="8"/>
  <c r="L2" i="8"/>
  <c r="G48" i="7"/>
  <c r="G47" i="7"/>
  <c r="X26" i="7"/>
  <c r="N26" i="7"/>
  <c r="S25" i="7"/>
  <c r="R25" i="7"/>
  <c r="Q25" i="7"/>
  <c r="P25" i="7"/>
  <c r="O25" i="7"/>
  <c r="S15" i="7"/>
  <c r="R15" i="7"/>
  <c r="Q15" i="7"/>
  <c r="P15" i="7"/>
  <c r="O15" i="7"/>
  <c r="B10" i="7"/>
  <c r="J9" i="7"/>
  <c r="J8" i="7"/>
  <c r="J7" i="7"/>
  <c r="D4" i="7"/>
  <c r="E4" i="7" s="1"/>
  <c r="L2" i="7"/>
  <c r="L28" i="6"/>
  <c r="K28" i="6"/>
  <c r="L27" i="6"/>
  <c r="K27" i="6"/>
  <c r="J27" i="6"/>
  <c r="J28" i="6" s="1"/>
  <c r="L27" i="5"/>
  <c r="L28" i="5" s="1"/>
  <c r="K27" i="5"/>
  <c r="K28" i="5" s="1"/>
  <c r="J27" i="5"/>
  <c r="J28" i="5" s="1"/>
  <c r="L27" i="4"/>
  <c r="L28" i="4" s="1"/>
  <c r="K27" i="4"/>
  <c r="K28" i="4" s="1"/>
  <c r="J27" i="4"/>
  <c r="J28" i="4" s="1"/>
  <c r="L27" i="3"/>
  <c r="L28" i="3" s="1"/>
  <c r="K27" i="3"/>
  <c r="J27" i="3"/>
  <c r="J28" i="3" s="1"/>
  <c r="L27" i="2"/>
  <c r="L28" i="2" s="1"/>
  <c r="K27" i="2"/>
  <c r="K28" i="2" s="1"/>
  <c r="J27" i="2"/>
  <c r="J28" i="2" s="1"/>
  <c r="A80" i="1"/>
  <c r="N79" i="1"/>
  <c r="N78" i="1"/>
  <c r="E78" i="1"/>
  <c r="D78" i="1"/>
  <c r="B61" i="1"/>
  <c r="A60" i="1"/>
  <c r="A57" i="1"/>
  <c r="C52" i="1"/>
  <c r="E46" i="1"/>
  <c r="E45" i="1"/>
  <c r="E42" i="1"/>
  <c r="E41" i="1"/>
  <c r="E39" i="1"/>
  <c r="D35" i="1"/>
  <c r="D29" i="1"/>
  <c r="B25" i="1"/>
  <c r="B22" i="1"/>
  <c r="B15" i="1"/>
  <c r="AS5" i="10" l="1"/>
  <c r="T11" i="10" s="1"/>
  <c r="AQ7" i="10"/>
  <c r="AU9" i="10"/>
  <c r="V10" i="10" s="1"/>
  <c r="AY5" i="10"/>
  <c r="Z11" i="10" s="1"/>
  <c r="AW7" i="10"/>
  <c r="AY9" i="10"/>
  <c r="Z10" i="10" s="1"/>
  <c r="BA5" i="10"/>
  <c r="AB11" i="10" s="1"/>
  <c r="AY7" i="10"/>
  <c r="AV9" i="10"/>
  <c r="W10" i="10" s="1"/>
  <c r="AT9" i="10"/>
  <c r="U10" i="10" s="1"/>
  <c r="AU8" i="10"/>
  <c r="V9" i="10" s="1"/>
  <c r="AS9" i="10"/>
  <c r="T10" i="10" s="1"/>
  <c r="AT8" i="10"/>
  <c r="U9" i="10" s="1"/>
  <c r="AU7" i="10"/>
  <c r="AV6" i="10"/>
  <c r="W12" i="10" s="1"/>
  <c r="AW5" i="10"/>
  <c r="X11" i="10" s="1"/>
  <c r="AX4" i="10"/>
  <c r="Y6" i="10" s="1"/>
  <c r="AR9" i="10"/>
  <c r="S10" i="10" s="1"/>
  <c r="AS8" i="10"/>
  <c r="T9" i="10" s="1"/>
  <c r="AT7" i="10"/>
  <c r="AU6" i="10"/>
  <c r="V12" i="10" s="1"/>
  <c r="AV5" i="10"/>
  <c r="W11" i="10" s="1"/>
  <c r="AW4" i="10"/>
  <c r="X6" i="10" s="1"/>
  <c r="AQ9" i="10"/>
  <c r="R10" i="10" s="1"/>
  <c r="AR8" i="10"/>
  <c r="S9" i="10" s="1"/>
  <c r="AS7" i="10"/>
  <c r="AT6" i="10"/>
  <c r="U12" i="10" s="1"/>
  <c r="U8" i="10" s="1"/>
  <c r="AU5" i="10"/>
  <c r="V11" i="10" s="1"/>
  <c r="AV4" i="10"/>
  <c r="W6" i="10" s="1"/>
  <c r="AP9" i="10"/>
  <c r="Q10" i="10" s="1"/>
  <c r="AQ8" i="10"/>
  <c r="R9" i="10" s="1"/>
  <c r="AR7" i="10"/>
  <c r="AS6" i="10"/>
  <c r="T12" i="10" s="1"/>
  <c r="T8" i="10" s="1"/>
  <c r="AT5" i="10"/>
  <c r="U11" i="10" s="1"/>
  <c r="AU4" i="10"/>
  <c r="V6" i="10" s="1"/>
  <c r="AN9" i="10"/>
  <c r="AO8" i="10"/>
  <c r="P9" i="10" s="1"/>
  <c r="AP7" i="10"/>
  <c r="AQ6" i="10"/>
  <c r="R12" i="10" s="1"/>
  <c r="R8" i="10" s="1"/>
  <c r="AR5" i="10"/>
  <c r="S11" i="10" s="1"/>
  <c r="AS4" i="10"/>
  <c r="T6" i="10" s="1"/>
  <c r="BD9" i="10"/>
  <c r="AE10" i="10" s="1"/>
  <c r="BD8" i="10"/>
  <c r="AE9" i="10" s="1"/>
  <c r="AN8" i="10"/>
  <c r="AO7" i="10"/>
  <c r="AP6" i="10"/>
  <c r="Q12" i="10" s="1"/>
  <c r="Q8" i="10" s="1"/>
  <c r="AQ5" i="10"/>
  <c r="R11" i="10" s="1"/>
  <c r="AR4" i="10"/>
  <c r="S6" i="10" s="1"/>
  <c r="BB9" i="10"/>
  <c r="AC10" i="10" s="1"/>
  <c r="BB8" i="10"/>
  <c r="AC9" i="10" s="1"/>
  <c r="BC7" i="10"/>
  <c r="BD6" i="10"/>
  <c r="AE12" i="10" s="1"/>
  <c r="AE8" i="10" s="1"/>
  <c r="AN6" i="10"/>
  <c r="AO5" i="10"/>
  <c r="P11" i="10" s="1"/>
  <c r="AP4" i="10"/>
  <c r="Q6" i="10" s="1"/>
  <c r="AW9" i="10"/>
  <c r="X10" i="10" s="1"/>
  <c r="AW8" i="10"/>
  <c r="X9" i="10" s="1"/>
  <c r="AX7" i="10"/>
  <c r="AY6" i="10"/>
  <c r="Z12" i="10" s="1"/>
  <c r="Z8" i="10" s="1"/>
  <c r="AZ5" i="10"/>
  <c r="AA11" i="10" s="1"/>
  <c r="BA4" i="10"/>
  <c r="AB6" i="10" s="1"/>
  <c r="BB5" i="10"/>
  <c r="AC11" i="10" s="1"/>
  <c r="AZ7" i="10"/>
  <c r="BA9" i="10"/>
  <c r="AB10" i="10" s="1"/>
  <c r="AN4" i="10"/>
  <c r="BC5" i="10"/>
  <c r="AD11" i="10" s="1"/>
  <c r="BA7" i="10"/>
  <c r="BC9" i="10"/>
  <c r="AD10" i="10" s="1"/>
  <c r="C150" i="13"/>
  <c r="D150" i="13" s="1"/>
  <c r="D223" i="13"/>
  <c r="M36" i="9"/>
  <c r="AO4" i="10"/>
  <c r="P6" i="10" s="1"/>
  <c r="B7" i="10" s="1"/>
  <c r="BD5" i="10"/>
  <c r="AE11" i="10" s="1"/>
  <c r="BB7" i="10"/>
  <c r="M35" i="9"/>
  <c r="A15" i="9"/>
  <c r="C14" i="9"/>
  <c r="AQ4" i="10"/>
  <c r="R6" i="10" s="1"/>
  <c r="AO6" i="10"/>
  <c r="P12" i="10" s="1"/>
  <c r="P8" i="10" s="1"/>
  <c r="BD7" i="10"/>
  <c r="AT4" i="10"/>
  <c r="U6" i="10" s="1"/>
  <c r="AR6" i="10"/>
  <c r="S12" i="10" s="1"/>
  <c r="AP8" i="10"/>
  <c r="Q9" i="10" s="1"/>
  <c r="AY4" i="10"/>
  <c r="Z6" i="10" s="1"/>
  <c r="AW6" i="10"/>
  <c r="X12" i="10" s="1"/>
  <c r="X8" i="10" s="1"/>
  <c r="AV8" i="10"/>
  <c r="W9" i="10" s="1"/>
  <c r="AZ4" i="10"/>
  <c r="AA6" i="10" s="1"/>
  <c r="AX6" i="10"/>
  <c r="Y12" i="10" s="1"/>
  <c r="Y8" i="10" s="1"/>
  <c r="AX8" i="10"/>
  <c r="Y9" i="10" s="1"/>
  <c r="C15" i="13"/>
  <c r="C16" i="13" s="1"/>
  <c r="BB4" i="10"/>
  <c r="AC6" i="10" s="1"/>
  <c r="AZ6" i="10"/>
  <c r="AA12" i="10" s="1"/>
  <c r="AA8" i="10" s="1"/>
  <c r="AY8" i="10"/>
  <c r="Z9" i="10" s="1"/>
  <c r="K28" i="3"/>
  <c r="E11" i="9"/>
  <c r="B14" i="9" s="1"/>
  <c r="D14" i="9" s="1"/>
  <c r="BC4" i="10"/>
  <c r="AD6" i="10" s="1"/>
  <c r="BA6" i="10"/>
  <c r="AB12" i="10" s="1"/>
  <c r="AB8" i="10" s="1"/>
  <c r="AZ8" i="10"/>
  <c r="AA9" i="10" s="1"/>
  <c r="BD4" i="10"/>
  <c r="AE6" i="10" s="1"/>
  <c r="BB6" i="10"/>
  <c r="AC12" i="10" s="1"/>
  <c r="BA8" i="10"/>
  <c r="AB9" i="10" s="1"/>
  <c r="AN5" i="10"/>
  <c r="BC6" i="10"/>
  <c r="AD12" i="10" s="1"/>
  <c r="AD8" i="10" s="1"/>
  <c r="BC8" i="10"/>
  <c r="AD9" i="10" s="1"/>
  <c r="L37" i="12"/>
  <c r="C223" i="13"/>
  <c r="D222" i="13"/>
  <c r="D16" i="13"/>
  <c r="C152" i="13"/>
  <c r="C17" i="13"/>
  <c r="C18" i="13" s="1"/>
  <c r="D453" i="13"/>
  <c r="D454" i="13"/>
  <c r="C3" i="13"/>
  <c r="C454" i="13"/>
  <c r="B15" i="12"/>
  <c r="E9" i="11"/>
  <c r="E8" i="11"/>
  <c r="B8" i="11"/>
  <c r="A16" i="12"/>
  <c r="D455" i="13"/>
  <c r="C455" i="13"/>
  <c r="D456" i="13"/>
  <c r="D512" i="13"/>
  <c r="C513" i="13"/>
  <c r="C514" i="13" s="1"/>
  <c r="D345" i="13"/>
  <c r="C412" i="13"/>
  <c r="D411" i="13"/>
  <c r="C479" i="13"/>
  <c r="C480" i="13" s="1"/>
  <c r="C346" i="13"/>
  <c r="C224" i="13"/>
  <c r="D224" i="13"/>
  <c r="C141" i="13"/>
  <c r="C225" i="13"/>
  <c r="C175" i="13"/>
  <c r="C176" i="13" s="1"/>
  <c r="C374" i="13"/>
  <c r="D374" i="13" s="1"/>
  <c r="C375" i="13"/>
  <c r="C376" i="13" s="1"/>
  <c r="D376" i="13" s="1"/>
  <c r="D149" i="13"/>
  <c r="C923" i="13"/>
  <c r="C924" i="13" s="1"/>
  <c r="D922" i="13"/>
  <c r="D730" i="13"/>
  <c r="C731" i="13"/>
  <c r="C390" i="13"/>
  <c r="C456" i="13"/>
  <c r="C457" i="13" s="1"/>
  <c r="D457" i="13" s="1"/>
  <c r="C660" i="13"/>
  <c r="D660" i="13" s="1"/>
  <c r="C391" i="13"/>
  <c r="D391" i="13" s="1"/>
  <c r="C140" i="13"/>
  <c r="C151" i="13"/>
  <c r="C458" i="13"/>
  <c r="D511" i="13"/>
  <c r="D854" i="13"/>
  <c r="C854" i="13"/>
  <c r="D759" i="13"/>
  <c r="C759" i="13"/>
  <c r="C760" i="13" s="1"/>
  <c r="D760" i="13" s="1"/>
  <c r="D923" i="13"/>
  <c r="D924" i="13"/>
  <c r="D1051" i="13"/>
  <c r="D761" i="13"/>
  <c r="D1052" i="13"/>
  <c r="D669" i="13"/>
  <c r="C669" i="13"/>
  <c r="C670" i="13" s="1"/>
  <c r="D670" i="13" s="1"/>
  <c r="D685" i="13"/>
  <c r="C685" i="13"/>
  <c r="C686" i="13" s="1"/>
  <c r="D686" i="13" s="1"/>
  <c r="D692" i="13"/>
  <c r="C692" i="13"/>
  <c r="C693" i="13" s="1"/>
  <c r="C761" i="13"/>
  <c r="C762" i="13" s="1"/>
  <c r="C895" i="13"/>
  <c r="D895" i="13" s="1"/>
  <c r="D926" i="13"/>
  <c r="C937" i="13"/>
  <c r="D513" i="13"/>
  <c r="C661" i="13"/>
  <c r="D661" i="13" s="1"/>
  <c r="D693" i="13"/>
  <c r="C926" i="13"/>
  <c r="C927" i="13" s="1"/>
  <c r="D1099" i="13"/>
  <c r="C896" i="13"/>
  <c r="C897" i="13" s="1"/>
  <c r="D1100" i="13"/>
  <c r="D539" i="13"/>
  <c r="C539" i="13"/>
  <c r="C540" i="13" s="1"/>
  <c r="C541" i="13" s="1"/>
  <c r="C694" i="13"/>
  <c r="D694" i="13" s="1"/>
  <c r="D729" i="13"/>
  <c r="C671" i="13"/>
  <c r="C687" i="13"/>
  <c r="C695" i="13"/>
  <c r="D695" i="13" s="1"/>
  <c r="C696" i="13"/>
  <c r="C789" i="13"/>
  <c r="D790" i="13"/>
  <c r="C790" i="13"/>
  <c r="C791" i="13" s="1"/>
  <c r="C1142" i="13"/>
  <c r="C1148" i="13"/>
  <c r="C1149" i="13" s="1"/>
  <c r="C855" i="13"/>
  <c r="C909" i="13"/>
  <c r="C910" i="13" s="1"/>
  <c r="C925" i="13"/>
  <c r="D925" i="13" s="1"/>
  <c r="C1053" i="13"/>
  <c r="C1101" i="13"/>
  <c r="C1141" i="13"/>
  <c r="C1024" i="13"/>
  <c r="C1025" i="13" s="1"/>
  <c r="D1149" i="13" l="1"/>
  <c r="C1150" i="13"/>
  <c r="D791" i="13"/>
  <c r="C792" i="13"/>
  <c r="D927" i="13"/>
  <c r="C928" i="13"/>
  <c r="N36" i="9"/>
  <c r="C542" i="13"/>
  <c r="D541" i="13"/>
  <c r="D910" i="13"/>
  <c r="C911" i="13"/>
  <c r="D1142" i="13"/>
  <c r="C1143" i="13"/>
  <c r="D540" i="13"/>
  <c r="C177" i="13"/>
  <c r="D176" i="13"/>
  <c r="D3" i="13"/>
  <c r="C4" i="13"/>
  <c r="D696" i="13"/>
  <c r="C697" i="13"/>
  <c r="C938" i="13"/>
  <c r="D937" i="13"/>
  <c r="C763" i="13"/>
  <c r="D762" i="13"/>
  <c r="L36" i="11"/>
  <c r="L35" i="11"/>
  <c r="A15" i="11"/>
  <c r="D896" i="13"/>
  <c r="D909" i="13"/>
  <c r="D225" i="13"/>
  <c r="C226" i="13"/>
  <c r="C153" i="13"/>
  <c r="D152" i="13"/>
  <c r="D458" i="13"/>
  <c r="C459" i="13"/>
  <c r="C1026" i="13"/>
  <c r="D1025" i="13"/>
  <c r="D1101" i="13"/>
  <c r="C1102" i="13"/>
  <c r="C662" i="13"/>
  <c r="D687" i="13"/>
  <c r="C688" i="13"/>
  <c r="D731" i="13"/>
  <c r="C732" i="13"/>
  <c r="D671" i="13"/>
  <c r="C672" i="13"/>
  <c r="C142" i="13"/>
  <c r="D141" i="13"/>
  <c r="C898" i="13"/>
  <c r="D897" i="13"/>
  <c r="B10" i="10"/>
  <c r="B9" i="10"/>
  <c r="E10" i="10"/>
  <c r="B11" i="10"/>
  <c r="C377" i="13"/>
  <c r="C1054" i="13"/>
  <c r="D1053" i="13"/>
  <c r="D855" i="13"/>
  <c r="C856" i="13"/>
  <c r="B14" i="11"/>
  <c r="D15" i="13"/>
  <c r="D480" i="13"/>
  <c r="C481" i="13"/>
  <c r="C19" i="13"/>
  <c r="D18" i="13"/>
  <c r="C515" i="13"/>
  <c r="D514" i="13"/>
  <c r="D17" i="13"/>
  <c r="B15" i="9"/>
  <c r="A16" i="9"/>
  <c r="C15" i="9"/>
  <c r="N35" i="9"/>
  <c r="V8" i="10"/>
  <c r="D375" i="13"/>
  <c r="C392" i="13"/>
  <c r="D412" i="13"/>
  <c r="C413" i="13"/>
  <c r="D479" i="13"/>
  <c r="C347" i="13"/>
  <c r="D346" i="13"/>
  <c r="S8" i="10"/>
  <c r="AC8" i="10"/>
  <c r="B16" i="12"/>
  <c r="A17" i="12"/>
  <c r="W8" i="10"/>
  <c r="E9" i="10" s="1"/>
  <c r="B15" i="10" l="1"/>
  <c r="H48" i="10"/>
  <c r="H49" i="10"/>
  <c r="H43" i="10"/>
  <c r="B16" i="10"/>
  <c r="H47" i="10"/>
  <c r="H52" i="10"/>
  <c r="H46" i="10"/>
  <c r="D672" i="13"/>
  <c r="C673" i="13"/>
  <c r="C178" i="13"/>
  <c r="D177" i="13"/>
  <c r="D1143" i="13"/>
  <c r="C1144" i="13"/>
  <c r="D911" i="13"/>
  <c r="C912" i="13"/>
  <c r="D413" i="13"/>
  <c r="C414" i="13"/>
  <c r="C15" i="10"/>
  <c r="A16" i="10"/>
  <c r="J52" i="10"/>
  <c r="O36" i="9"/>
  <c r="P36" i="9" s="1"/>
  <c r="Q36" i="9" s="1"/>
  <c r="C929" i="13"/>
  <c r="D928" i="13"/>
  <c r="C227" i="13"/>
  <c r="D226" i="13"/>
  <c r="D142" i="13"/>
  <c r="C143" i="13"/>
  <c r="D856" i="13"/>
  <c r="C857" i="13"/>
  <c r="D688" i="13"/>
  <c r="C689" i="13"/>
  <c r="D689" i="13" s="1"/>
  <c r="C1055" i="13"/>
  <c r="D1054" i="13"/>
  <c r="C663" i="13"/>
  <c r="D662" i="13"/>
  <c r="D1102" i="13"/>
  <c r="C1103" i="13"/>
  <c r="D732" i="13"/>
  <c r="C733" i="13"/>
  <c r="D763" i="13"/>
  <c r="C764" i="13"/>
  <c r="C939" i="13"/>
  <c r="D938" i="13"/>
  <c r="D792" i="13"/>
  <c r="C793" i="13"/>
  <c r="D4" i="13"/>
  <c r="C5" i="13"/>
  <c r="B15" i="11"/>
  <c r="A16" i="11"/>
  <c r="C378" i="13"/>
  <c r="D377" i="13"/>
  <c r="C543" i="13"/>
  <c r="D542" i="13"/>
  <c r="C16" i="9"/>
  <c r="B16" i="9"/>
  <c r="D16" i="9" s="1"/>
  <c r="A17" i="9"/>
  <c r="D15" i="9"/>
  <c r="C698" i="13"/>
  <c r="D697" i="13"/>
  <c r="D515" i="13"/>
  <c r="C516" i="13"/>
  <c r="C348" i="13"/>
  <c r="D347" i="13"/>
  <c r="D898" i="13"/>
  <c r="C899" i="13"/>
  <c r="D1150" i="13"/>
  <c r="C1151" i="13"/>
  <c r="D392" i="13"/>
  <c r="C393" i="13"/>
  <c r="A18" i="12"/>
  <c r="B17" i="12"/>
  <c r="D1026" i="13"/>
  <c r="C1027" i="13"/>
  <c r="C460" i="13"/>
  <c r="D459" i="13"/>
  <c r="D19" i="13"/>
  <c r="C20" i="13"/>
  <c r="C482" i="13"/>
  <c r="D481" i="13"/>
  <c r="C154" i="13"/>
  <c r="D153" i="13"/>
  <c r="D178" i="13" l="1"/>
  <c r="C179" i="13"/>
  <c r="I47" i="10"/>
  <c r="D1144" i="13"/>
  <c r="C1145" i="13"/>
  <c r="C544" i="13"/>
  <c r="D543" i="13"/>
  <c r="D663" i="13"/>
  <c r="C664" i="13"/>
  <c r="I43" i="10"/>
  <c r="C155" i="13"/>
  <c r="D154" i="13"/>
  <c r="D673" i="13"/>
  <c r="C674" i="13"/>
  <c r="I49" i="10"/>
  <c r="C483" i="13"/>
  <c r="D482" i="13"/>
  <c r="D20" i="13"/>
  <c r="C21" i="13"/>
  <c r="I46" i="10"/>
  <c r="C6" i="13"/>
  <c r="D5" i="13"/>
  <c r="C794" i="13"/>
  <c r="D793" i="13"/>
  <c r="C461" i="13"/>
  <c r="D460" i="13"/>
  <c r="A17" i="10"/>
  <c r="U16" i="10"/>
  <c r="C144" i="13"/>
  <c r="D143" i="13"/>
  <c r="N16" i="10"/>
  <c r="C940" i="13"/>
  <c r="D939" i="13"/>
  <c r="D1055" i="13"/>
  <c r="C1056" i="13"/>
  <c r="C858" i="13"/>
  <c r="D857" i="13"/>
  <c r="A19" i="12"/>
  <c r="B18" i="12"/>
  <c r="C394" i="13"/>
  <c r="D393" i="13"/>
  <c r="C765" i="13"/>
  <c r="D764" i="13"/>
  <c r="C379" i="13"/>
  <c r="D378" i="13"/>
  <c r="B17" i="9"/>
  <c r="D17" i="9" s="1"/>
  <c r="C17" i="9"/>
  <c r="A18" i="9"/>
  <c r="D227" i="13"/>
  <c r="C228" i="13"/>
  <c r="D414" i="13"/>
  <c r="C415" i="13"/>
  <c r="I48" i="10"/>
  <c r="B16" i="11"/>
  <c r="A17" i="11"/>
  <c r="D1027" i="13"/>
  <c r="C1028" i="13"/>
  <c r="C1152" i="13"/>
  <c r="D1152" i="13" s="1"/>
  <c r="D1151" i="13"/>
  <c r="D15" i="10"/>
  <c r="V15" i="10" s="1"/>
  <c r="D899" i="13"/>
  <c r="C900" i="13"/>
  <c r="D348" i="13"/>
  <c r="C349" i="13"/>
  <c r="D516" i="13"/>
  <c r="C517" i="13"/>
  <c r="C699" i="13"/>
  <c r="D698" i="13"/>
  <c r="C734" i="13"/>
  <c r="D733" i="13"/>
  <c r="C930" i="13"/>
  <c r="D929" i="13"/>
  <c r="C913" i="13"/>
  <c r="D912" i="13"/>
  <c r="D1103" i="13"/>
  <c r="C1104" i="13"/>
  <c r="C16" i="10"/>
  <c r="D16" i="10" s="1"/>
  <c r="K52" i="10"/>
  <c r="L52" i="10" s="1"/>
  <c r="I52" i="10"/>
  <c r="O16" i="10" l="1"/>
  <c r="V16" i="10"/>
  <c r="C766" i="13"/>
  <c r="D765" i="13"/>
  <c r="D394" i="13"/>
  <c r="C395" i="13"/>
  <c r="D461" i="13"/>
  <c r="C462" i="13"/>
  <c r="C156" i="13"/>
  <c r="D155" i="13"/>
  <c r="C795" i="13"/>
  <c r="D794" i="13"/>
  <c r="D664" i="13"/>
  <c r="C665" i="13"/>
  <c r="C859" i="13"/>
  <c r="D858" i="13"/>
  <c r="D1028" i="13"/>
  <c r="C1029" i="13"/>
  <c r="C7" i="13"/>
  <c r="D6" i="13"/>
  <c r="D517" i="13"/>
  <c r="C518" i="13"/>
  <c r="C1057" i="13"/>
  <c r="D1056" i="13"/>
  <c r="D228" i="13"/>
  <c r="C229" i="13"/>
  <c r="C545" i="13"/>
  <c r="D544" i="13"/>
  <c r="C350" i="13"/>
  <c r="D349" i="13"/>
  <c r="D21" i="13"/>
  <c r="C22" i="13"/>
  <c r="D1145" i="13"/>
  <c r="C1146" i="13"/>
  <c r="A19" i="9"/>
  <c r="C18" i="9"/>
  <c r="B18" i="9"/>
  <c r="D18" i="9" s="1"/>
  <c r="C941" i="13"/>
  <c r="D940" i="13"/>
  <c r="A18" i="10"/>
  <c r="U17" i="10"/>
  <c r="C17" i="10"/>
  <c r="B17" i="10"/>
  <c r="D734" i="13"/>
  <c r="C735" i="13"/>
  <c r="C901" i="13"/>
  <c r="D900" i="13"/>
  <c r="C914" i="13"/>
  <c r="D913" i="13"/>
  <c r="A18" i="11"/>
  <c r="B17" i="11"/>
  <c r="C416" i="13"/>
  <c r="D415" i="13"/>
  <c r="D483" i="13"/>
  <c r="C484" i="13"/>
  <c r="B19" i="12"/>
  <c r="A20" i="12"/>
  <c r="C1105" i="13"/>
  <c r="D1104" i="13"/>
  <c r="C180" i="13"/>
  <c r="D179" i="13"/>
  <c r="C380" i="13"/>
  <c r="D379" i="13"/>
  <c r="C145" i="13"/>
  <c r="D144" i="13"/>
  <c r="D930" i="13"/>
  <c r="C931" i="13"/>
  <c r="C700" i="13"/>
  <c r="D699" i="13"/>
  <c r="D674" i="13"/>
  <c r="C675" i="13"/>
  <c r="D350" i="13" l="1"/>
  <c r="C351" i="13"/>
  <c r="C230" i="13"/>
  <c r="D229" i="13"/>
  <c r="D675" i="13"/>
  <c r="C676" i="13"/>
  <c r="D735" i="13"/>
  <c r="C736" i="13"/>
  <c r="B20" i="12"/>
  <c r="A21" i="12"/>
  <c r="D795" i="13"/>
  <c r="C796" i="13"/>
  <c r="C519" i="13"/>
  <c r="D518" i="13"/>
  <c r="C157" i="13"/>
  <c r="D156" i="13"/>
  <c r="N17" i="10"/>
  <c r="D17" i="10"/>
  <c r="C701" i="13"/>
  <c r="D700" i="13"/>
  <c r="C1058" i="13"/>
  <c r="D1057" i="13"/>
  <c r="B19" i="9"/>
  <c r="A20" i="9"/>
  <c r="C19" i="9"/>
  <c r="D7" i="13"/>
  <c r="C8" i="13"/>
  <c r="C396" i="13"/>
  <c r="D395" i="13"/>
  <c r="C942" i="13"/>
  <c r="D941" i="13"/>
  <c r="A19" i="11"/>
  <c r="B18" i="11"/>
  <c r="D1146" i="13"/>
  <c r="C1147" i="13"/>
  <c r="D1147" i="13" s="1"/>
  <c r="D1029" i="13"/>
  <c r="C1030" i="13"/>
  <c r="C181" i="13"/>
  <c r="D180" i="13"/>
  <c r="C1106" i="13"/>
  <c r="D1105" i="13"/>
  <c r="C546" i="13"/>
  <c r="D545" i="13"/>
  <c r="A19" i="10"/>
  <c r="U18" i="10"/>
  <c r="C18" i="10"/>
  <c r="B18" i="10"/>
  <c r="D484" i="13"/>
  <c r="C485" i="13"/>
  <c r="C463" i="13"/>
  <c r="D462" i="13"/>
  <c r="C146" i="13"/>
  <c r="D145" i="13"/>
  <c r="D914" i="13"/>
  <c r="C915" i="13"/>
  <c r="D22" i="13"/>
  <c r="C23" i="13"/>
  <c r="D766" i="13"/>
  <c r="C767" i="13"/>
  <c r="C860" i="13"/>
  <c r="D859" i="13"/>
  <c r="D416" i="13"/>
  <c r="C417" i="13"/>
  <c r="D931" i="13"/>
  <c r="C932" i="13"/>
  <c r="C381" i="13"/>
  <c r="D380" i="13"/>
  <c r="D901" i="13"/>
  <c r="C902" i="13"/>
  <c r="C666" i="13"/>
  <c r="D665" i="13"/>
  <c r="B19" i="11" l="1"/>
  <c r="A20" i="11"/>
  <c r="C397" i="13"/>
  <c r="D396" i="13"/>
  <c r="N18" i="10"/>
  <c r="D18" i="10"/>
  <c r="C797" i="13"/>
  <c r="D796" i="13"/>
  <c r="D942" i="13"/>
  <c r="C943" i="13"/>
  <c r="D736" i="13"/>
  <c r="C737" i="13"/>
  <c r="D23" i="13"/>
  <c r="C24" i="13"/>
  <c r="D157" i="13"/>
  <c r="C158" i="13"/>
  <c r="C547" i="13"/>
  <c r="D546" i="13"/>
  <c r="C20" i="9"/>
  <c r="B20" i="9"/>
  <c r="D20" i="9" s="1"/>
  <c r="A21" i="9"/>
  <c r="D676" i="13"/>
  <c r="C677" i="13"/>
  <c r="D417" i="13"/>
  <c r="C418" i="13"/>
  <c r="A20" i="10"/>
  <c r="U19" i="10"/>
  <c r="B19" i="10"/>
  <c r="C19" i="10"/>
  <c r="C667" i="13"/>
  <c r="D666" i="13"/>
  <c r="D1030" i="13"/>
  <c r="C1031" i="13"/>
  <c r="D1058" i="13"/>
  <c r="C1059" i="13"/>
  <c r="A22" i="12"/>
  <c r="B21" i="12"/>
  <c r="D1106" i="13"/>
  <c r="C1107" i="13"/>
  <c r="C147" i="13"/>
  <c r="D147" i="13" s="1"/>
  <c r="D146" i="13"/>
  <c r="D519" i="13"/>
  <c r="C520" i="13"/>
  <c r="D767" i="13"/>
  <c r="C768" i="13"/>
  <c r="C702" i="13"/>
  <c r="D701" i="13"/>
  <c r="C231" i="13"/>
  <c r="D230" i="13"/>
  <c r="C9" i="13"/>
  <c r="D8" i="13"/>
  <c r="D915" i="13"/>
  <c r="C916" i="13"/>
  <c r="D381" i="13"/>
  <c r="C382" i="13"/>
  <c r="D463" i="13"/>
  <c r="C464" i="13"/>
  <c r="V17" i="10"/>
  <c r="O17" i="10"/>
  <c r="D351" i="13"/>
  <c r="C352" i="13"/>
  <c r="D860" i="13"/>
  <c r="C861" i="13"/>
  <c r="D19" i="9"/>
  <c r="D181" i="13"/>
  <c r="C182" i="13"/>
  <c r="C903" i="13"/>
  <c r="D902" i="13"/>
  <c r="D932" i="13"/>
  <c r="C933" i="13"/>
  <c r="D485" i="13"/>
  <c r="C486" i="13"/>
  <c r="D158" i="13" l="1"/>
  <c r="C159" i="13"/>
  <c r="C521" i="13"/>
  <c r="D520" i="13"/>
  <c r="C862" i="13"/>
  <c r="D861" i="13"/>
  <c r="C487" i="13"/>
  <c r="D486" i="13"/>
  <c r="D702" i="13"/>
  <c r="C703" i="13"/>
  <c r="C738" i="13"/>
  <c r="D737" i="13"/>
  <c r="A21" i="10"/>
  <c r="U20" i="10"/>
  <c r="C20" i="10"/>
  <c r="B20" i="10"/>
  <c r="D24" i="13"/>
  <c r="C25" i="13"/>
  <c r="C353" i="13"/>
  <c r="D352" i="13"/>
  <c r="D464" i="13"/>
  <c r="C465" i="13"/>
  <c r="D1107" i="13"/>
  <c r="C1108" i="13"/>
  <c r="D677" i="13"/>
  <c r="C678" i="13"/>
  <c r="D797" i="13"/>
  <c r="C798" i="13"/>
  <c r="V18" i="10"/>
  <c r="O18" i="10"/>
  <c r="C668" i="13"/>
  <c r="D668" i="13" s="1"/>
  <c r="D667" i="13"/>
  <c r="C383" i="13"/>
  <c r="D382" i="13"/>
  <c r="D903" i="13"/>
  <c r="C904" i="13"/>
  <c r="C21" i="9"/>
  <c r="B21" i="9"/>
  <c r="D21" i="9" s="1"/>
  <c r="A22" i="9"/>
  <c r="C419" i="13"/>
  <c r="D418" i="13"/>
  <c r="C183" i="13"/>
  <c r="D182" i="13"/>
  <c r="A23" i="12"/>
  <c r="B22" i="12"/>
  <c r="D768" i="13"/>
  <c r="C769" i="13"/>
  <c r="N19" i="10"/>
  <c r="D19" i="10"/>
  <c r="C934" i="13"/>
  <c r="D933" i="13"/>
  <c r="D943" i="13"/>
  <c r="C944" i="13"/>
  <c r="C917" i="13"/>
  <c r="D916" i="13"/>
  <c r="D9" i="13"/>
  <c r="C10" i="13"/>
  <c r="D1059" i="13"/>
  <c r="C1060" i="13"/>
  <c r="D397" i="13"/>
  <c r="C398" i="13"/>
  <c r="B20" i="11"/>
  <c r="A21" i="11"/>
  <c r="D231" i="13"/>
  <c r="C232" i="13"/>
  <c r="C1032" i="13"/>
  <c r="D1031" i="13"/>
  <c r="D547" i="13"/>
  <c r="C548" i="13"/>
  <c r="A22" i="11" l="1"/>
  <c r="B21" i="11"/>
  <c r="A22" i="10"/>
  <c r="U21" i="10"/>
  <c r="C21" i="10"/>
  <c r="B21" i="10"/>
  <c r="A23" i="9"/>
  <c r="C22" i="9"/>
  <c r="B22" i="9"/>
  <c r="D22" i="9" s="1"/>
  <c r="D487" i="13"/>
  <c r="C488" i="13"/>
  <c r="C466" i="13"/>
  <c r="D465" i="13"/>
  <c r="D738" i="13"/>
  <c r="C739" i="13"/>
  <c r="C184" i="13"/>
  <c r="D183" i="13"/>
  <c r="C11" i="13"/>
  <c r="D10" i="13"/>
  <c r="D917" i="13"/>
  <c r="C918" i="13"/>
  <c r="D548" i="13"/>
  <c r="C549" i="13"/>
  <c r="C945" i="13"/>
  <c r="D944" i="13"/>
  <c r="D862" i="13"/>
  <c r="C863" i="13"/>
  <c r="C770" i="13"/>
  <c r="D769" i="13"/>
  <c r="D398" i="13"/>
  <c r="C399" i="13"/>
  <c r="D798" i="13"/>
  <c r="C799" i="13"/>
  <c r="D904" i="13"/>
  <c r="C905" i="13"/>
  <c r="D353" i="13"/>
  <c r="C354" i="13"/>
  <c r="C522" i="13"/>
  <c r="D521" i="13"/>
  <c r="A24" i="12"/>
  <c r="B23" i="12"/>
  <c r="D703" i="13"/>
  <c r="C704" i="13"/>
  <c r="C420" i="13"/>
  <c r="D419" i="13"/>
  <c r="D1032" i="13"/>
  <c r="C1033" i="13"/>
  <c r="C935" i="13"/>
  <c r="D935" i="13" s="1"/>
  <c r="D934" i="13"/>
  <c r="C26" i="13"/>
  <c r="D25" i="13"/>
  <c r="D159" i="13"/>
  <c r="C160" i="13"/>
  <c r="C679" i="13"/>
  <c r="D678" i="13"/>
  <c r="C1109" i="13"/>
  <c r="D1108" i="13"/>
  <c r="C233" i="13"/>
  <c r="D232" i="13"/>
  <c r="V19" i="10"/>
  <c r="O19" i="10"/>
  <c r="C384" i="13"/>
  <c r="D383" i="13"/>
  <c r="C1061" i="13"/>
  <c r="D1060" i="13"/>
  <c r="N20" i="10"/>
  <c r="D20" i="10"/>
  <c r="D384" i="13" l="1"/>
  <c r="C385" i="13"/>
  <c r="C1034" i="13"/>
  <c r="D1033" i="13"/>
  <c r="D739" i="13"/>
  <c r="C740" i="13"/>
  <c r="D704" i="13"/>
  <c r="C705" i="13"/>
  <c r="D770" i="13"/>
  <c r="C771" i="13"/>
  <c r="C489" i="13"/>
  <c r="D488" i="13"/>
  <c r="C400" i="13"/>
  <c r="D399" i="13"/>
  <c r="D863" i="13"/>
  <c r="C864" i="13"/>
  <c r="N21" i="10"/>
  <c r="D21" i="10"/>
  <c r="D184" i="13"/>
  <c r="C185" i="13"/>
  <c r="D679" i="13"/>
  <c r="C680" i="13"/>
  <c r="C550" i="13"/>
  <c r="D549" i="13"/>
  <c r="D420" i="13"/>
  <c r="C421" i="13"/>
  <c r="C234" i="13"/>
  <c r="D233" i="13"/>
  <c r="C1110" i="13"/>
  <c r="D1109" i="13"/>
  <c r="C355" i="13"/>
  <c r="D354" i="13"/>
  <c r="C27" i="13"/>
  <c r="D26" i="13"/>
  <c r="C906" i="13"/>
  <c r="D905" i="13"/>
  <c r="A23" i="10"/>
  <c r="U22" i="10"/>
  <c r="B22" i="10"/>
  <c r="C22" i="10"/>
  <c r="C467" i="13"/>
  <c r="D466" i="13"/>
  <c r="A25" i="12"/>
  <c r="B24" i="12"/>
  <c r="C946" i="13"/>
  <c r="D945" i="13"/>
  <c r="C523" i="13"/>
  <c r="D522" i="13"/>
  <c r="C161" i="13"/>
  <c r="D160" i="13"/>
  <c r="C919" i="13"/>
  <c r="D918" i="13"/>
  <c r="V20" i="10"/>
  <c r="O20" i="10"/>
  <c r="D11" i="13"/>
  <c r="C12" i="13"/>
  <c r="A24" i="9"/>
  <c r="B23" i="9"/>
  <c r="D23" i="9" s="1"/>
  <c r="C23" i="9"/>
  <c r="D1061" i="13"/>
  <c r="C1062" i="13"/>
  <c r="D799" i="13"/>
  <c r="C800" i="13"/>
  <c r="B22" i="11"/>
  <c r="A23" i="11"/>
  <c r="C356" i="13" l="1"/>
  <c r="D355" i="13"/>
  <c r="D523" i="13"/>
  <c r="C524" i="13"/>
  <c r="D400" i="13"/>
  <c r="C401" i="13"/>
  <c r="A26" i="12"/>
  <c r="B25" i="12"/>
  <c r="C24" i="9"/>
  <c r="B24" i="9"/>
  <c r="D24" i="9" s="1"/>
  <c r="A25" i="9"/>
  <c r="D864" i="13"/>
  <c r="C865" i="13"/>
  <c r="D1110" i="13"/>
  <c r="C1111" i="13"/>
  <c r="N22" i="10"/>
  <c r="D22" i="10"/>
  <c r="D800" i="13"/>
  <c r="C801" i="13"/>
  <c r="D234" i="13"/>
  <c r="C235" i="13"/>
  <c r="A24" i="10"/>
  <c r="U23" i="10"/>
  <c r="B23" i="10"/>
  <c r="C23" i="10"/>
  <c r="C907" i="13"/>
  <c r="D907" i="13" s="1"/>
  <c r="D906" i="13"/>
  <c r="C1035" i="13"/>
  <c r="D1034" i="13"/>
  <c r="D946" i="13"/>
  <c r="C947" i="13"/>
  <c r="C490" i="13"/>
  <c r="D489" i="13"/>
  <c r="D771" i="13"/>
  <c r="C772" i="13"/>
  <c r="C468" i="13"/>
  <c r="D467" i="13"/>
  <c r="C13" i="13"/>
  <c r="D13" i="13" s="1"/>
  <c r="D12" i="13"/>
  <c r="C706" i="13"/>
  <c r="D705" i="13"/>
  <c r="D740" i="13"/>
  <c r="C741" i="13"/>
  <c r="D185" i="13"/>
  <c r="C186" i="13"/>
  <c r="O21" i="10"/>
  <c r="V21" i="10"/>
  <c r="D385" i="13"/>
  <c r="C386" i="13"/>
  <c r="C1063" i="13"/>
  <c r="D1062" i="13"/>
  <c r="D421" i="13"/>
  <c r="C422" i="13"/>
  <c r="C551" i="13"/>
  <c r="D550" i="13"/>
  <c r="D680" i="13"/>
  <c r="C681" i="13"/>
  <c r="D919" i="13"/>
  <c r="C920" i="13"/>
  <c r="D920" i="13" s="1"/>
  <c r="B23" i="11"/>
  <c r="A24" i="11"/>
  <c r="D161" i="13"/>
  <c r="C162" i="13"/>
  <c r="D27" i="13"/>
  <c r="C28" i="13"/>
  <c r="D1111" i="13" l="1"/>
  <c r="C1112" i="13"/>
  <c r="C1036" i="13"/>
  <c r="D1035" i="13"/>
  <c r="B24" i="11"/>
  <c r="A25" i="11"/>
  <c r="C552" i="13"/>
  <c r="D551" i="13"/>
  <c r="C236" i="13"/>
  <c r="D235" i="13"/>
  <c r="C742" i="13"/>
  <c r="D741" i="13"/>
  <c r="A26" i="9"/>
  <c r="C25" i="9"/>
  <c r="B25" i="9"/>
  <c r="D25" i="9" s="1"/>
  <c r="C682" i="13"/>
  <c r="D681" i="13"/>
  <c r="A25" i="10"/>
  <c r="U24" i="10"/>
  <c r="C24" i="10"/>
  <c r="B24" i="10"/>
  <c r="C773" i="13"/>
  <c r="D772" i="13"/>
  <c r="C525" i="13"/>
  <c r="D524" i="13"/>
  <c r="D162" i="13"/>
  <c r="C163" i="13"/>
  <c r="C187" i="13"/>
  <c r="D186" i="13"/>
  <c r="C423" i="13"/>
  <c r="D422" i="13"/>
  <c r="C402" i="13"/>
  <c r="D401" i="13"/>
  <c r="C469" i="13"/>
  <c r="D468" i="13"/>
  <c r="D1063" i="13"/>
  <c r="C1064" i="13"/>
  <c r="C802" i="13"/>
  <c r="D801" i="13"/>
  <c r="C866" i="13"/>
  <c r="D865" i="13"/>
  <c r="D706" i="13"/>
  <c r="C707" i="13"/>
  <c r="A27" i="12"/>
  <c r="B26" i="12"/>
  <c r="C29" i="13"/>
  <c r="D28" i="13"/>
  <c r="D386" i="13"/>
  <c r="C387" i="13"/>
  <c r="D947" i="13"/>
  <c r="C948" i="13"/>
  <c r="N23" i="10"/>
  <c r="D23" i="10"/>
  <c r="C491" i="13"/>
  <c r="D490" i="13"/>
  <c r="V22" i="10"/>
  <c r="O22" i="10"/>
  <c r="C357" i="13"/>
  <c r="D356" i="13"/>
  <c r="C30" i="13" l="1"/>
  <c r="D29" i="13"/>
  <c r="D742" i="13"/>
  <c r="C743" i="13"/>
  <c r="C424" i="13"/>
  <c r="D423" i="13"/>
  <c r="C188" i="13"/>
  <c r="D187" i="13"/>
  <c r="D866" i="13"/>
  <c r="C867" i="13"/>
  <c r="A28" i="12"/>
  <c r="B27" i="12"/>
  <c r="C358" i="13"/>
  <c r="D357" i="13"/>
  <c r="C237" i="13"/>
  <c r="D236" i="13"/>
  <c r="C492" i="13"/>
  <c r="D491" i="13"/>
  <c r="A26" i="11"/>
  <c r="B25" i="11"/>
  <c r="V23" i="10"/>
  <c r="O23" i="10"/>
  <c r="C683" i="13"/>
  <c r="D682" i="13"/>
  <c r="A27" i="9"/>
  <c r="C26" i="9"/>
  <c r="B26" i="9"/>
  <c r="D26" i="9" s="1"/>
  <c r="D707" i="13"/>
  <c r="C708" i="13"/>
  <c r="D802" i="13"/>
  <c r="C803" i="13"/>
  <c r="D773" i="13"/>
  <c r="C774" i="13"/>
  <c r="D1064" i="13"/>
  <c r="C1065" i="13"/>
  <c r="C949" i="13"/>
  <c r="D948" i="13"/>
  <c r="A26" i="10"/>
  <c r="U25" i="10"/>
  <c r="C25" i="10"/>
  <c r="B25" i="10"/>
  <c r="D1112" i="13"/>
  <c r="C1113" i="13"/>
  <c r="C403" i="13"/>
  <c r="D402" i="13"/>
  <c r="C164" i="13"/>
  <c r="D163" i="13"/>
  <c r="C526" i="13"/>
  <c r="D525" i="13"/>
  <c r="D552" i="13"/>
  <c r="C553" i="13"/>
  <c r="N24" i="10"/>
  <c r="D24" i="10"/>
  <c r="D1036" i="13"/>
  <c r="C1037" i="13"/>
  <c r="D469" i="13"/>
  <c r="C470" i="13"/>
  <c r="C388" i="13"/>
  <c r="D387" i="13"/>
  <c r="D526" i="13" l="1"/>
  <c r="C527" i="13"/>
  <c r="C1114" i="13"/>
  <c r="D1113" i="13"/>
  <c r="C165" i="13"/>
  <c r="D164" i="13"/>
  <c r="C359" i="13"/>
  <c r="D358" i="13"/>
  <c r="A29" i="12"/>
  <c r="B28" i="12"/>
  <c r="C471" i="13"/>
  <c r="D470" i="13"/>
  <c r="C1038" i="13"/>
  <c r="D1037" i="13"/>
  <c r="D237" i="13"/>
  <c r="C238" i="13"/>
  <c r="C709" i="13"/>
  <c r="D708" i="13"/>
  <c r="D388" i="13"/>
  <c r="C389" i="13"/>
  <c r="D389" i="13" s="1"/>
  <c r="V24" i="10"/>
  <c r="O24" i="10"/>
  <c r="D424" i="13"/>
  <c r="C425" i="13"/>
  <c r="C554" i="13"/>
  <c r="D553" i="13"/>
  <c r="N25" i="10"/>
  <c r="D25" i="10"/>
  <c r="C189" i="13"/>
  <c r="D188" i="13"/>
  <c r="C950" i="13"/>
  <c r="D949" i="13"/>
  <c r="C744" i="13"/>
  <c r="D743" i="13"/>
  <c r="D803" i="13"/>
  <c r="C804" i="13"/>
  <c r="C404" i="13"/>
  <c r="D403" i="13"/>
  <c r="D867" i="13"/>
  <c r="C868" i="13"/>
  <c r="A28" i="9"/>
  <c r="C27" i="9"/>
  <c r="B27" i="9"/>
  <c r="D27" i="9" s="1"/>
  <c r="C684" i="13"/>
  <c r="D684" i="13" s="1"/>
  <c r="D683" i="13"/>
  <c r="U26" i="10"/>
  <c r="A27" i="10"/>
  <c r="C26" i="10"/>
  <c r="B26" i="10"/>
  <c r="C1066" i="13"/>
  <c r="D1065" i="13"/>
  <c r="A27" i="11"/>
  <c r="B26" i="11"/>
  <c r="D774" i="13"/>
  <c r="C775" i="13"/>
  <c r="C493" i="13"/>
  <c r="D492" i="13"/>
  <c r="D30" i="13"/>
  <c r="C31" i="13"/>
  <c r="D950" i="13" l="1"/>
  <c r="C951" i="13"/>
  <c r="D189" i="13"/>
  <c r="C190" i="13"/>
  <c r="V25" i="10"/>
  <c r="O25" i="10"/>
  <c r="D471" i="13"/>
  <c r="C472" i="13"/>
  <c r="B28" i="9"/>
  <c r="D28" i="9" s="1"/>
  <c r="C28" i="9"/>
  <c r="A29" i="9"/>
  <c r="D165" i="13"/>
  <c r="C166" i="13"/>
  <c r="A28" i="10"/>
  <c r="U27" i="10"/>
  <c r="B27" i="10"/>
  <c r="C27" i="10"/>
  <c r="C555" i="13"/>
  <c r="D554" i="13"/>
  <c r="D359" i="13"/>
  <c r="C360" i="13"/>
  <c r="A28" i="11"/>
  <c r="B27" i="11"/>
  <c r="D238" i="13"/>
  <c r="C239" i="13"/>
  <c r="A30" i="12"/>
  <c r="B29" i="12"/>
  <c r="C1115" i="13"/>
  <c r="D1114" i="13"/>
  <c r="D1038" i="13"/>
  <c r="C1039" i="13"/>
  <c r="C869" i="13"/>
  <c r="D868" i="13"/>
  <c r="C1067" i="13"/>
  <c r="D1066" i="13"/>
  <c r="C528" i="13"/>
  <c r="D527" i="13"/>
  <c r="D31" i="13"/>
  <c r="C32" i="13"/>
  <c r="C494" i="13"/>
  <c r="D493" i="13"/>
  <c r="D425" i="13"/>
  <c r="C426" i="13"/>
  <c r="C776" i="13"/>
  <c r="D775" i="13"/>
  <c r="D404" i="13"/>
  <c r="C405" i="13"/>
  <c r="C805" i="13"/>
  <c r="D804" i="13"/>
  <c r="N26" i="10"/>
  <c r="D26" i="10"/>
  <c r="C745" i="13"/>
  <c r="D744" i="13"/>
  <c r="D709" i="13"/>
  <c r="C710" i="13"/>
  <c r="C806" i="13" l="1"/>
  <c r="D805" i="13"/>
  <c r="D166" i="13"/>
  <c r="C167" i="13"/>
  <c r="N27" i="10"/>
  <c r="D27" i="10"/>
  <c r="D1039" i="13"/>
  <c r="C1040" i="13"/>
  <c r="C495" i="13"/>
  <c r="D494" i="13"/>
  <c r="D32" i="13"/>
  <c r="C33" i="13"/>
  <c r="C361" i="13"/>
  <c r="D360" i="13"/>
  <c r="C870" i="13"/>
  <c r="D869" i="13"/>
  <c r="C1116" i="13"/>
  <c r="D1115" i="13"/>
  <c r="D405" i="13"/>
  <c r="C406" i="13"/>
  <c r="U28" i="10"/>
  <c r="A29" i="10"/>
  <c r="B28" i="10"/>
  <c r="C28" i="10"/>
  <c r="D776" i="13"/>
  <c r="C777" i="13"/>
  <c r="A31" i="12"/>
  <c r="B30" i="12"/>
  <c r="C746" i="13"/>
  <c r="D745" i="13"/>
  <c r="D426" i="13"/>
  <c r="C427" i="13"/>
  <c r="C473" i="13"/>
  <c r="D472" i="13"/>
  <c r="B28" i="11"/>
  <c r="A29" i="11"/>
  <c r="C1068" i="13"/>
  <c r="D1067" i="13"/>
  <c r="D555" i="13"/>
  <c r="C556" i="13"/>
  <c r="C952" i="13"/>
  <c r="D951" i="13"/>
  <c r="B29" i="9"/>
  <c r="A30" i="9"/>
  <c r="C29" i="9"/>
  <c r="C240" i="13"/>
  <c r="D239" i="13"/>
  <c r="D710" i="13"/>
  <c r="C711" i="13"/>
  <c r="D528" i="13"/>
  <c r="C529" i="13"/>
  <c r="D190" i="13"/>
  <c r="C191" i="13"/>
  <c r="V26" i="10"/>
  <c r="O26" i="10"/>
  <c r="A31" i="9" l="1"/>
  <c r="B30" i="9"/>
  <c r="C30" i="9"/>
  <c r="D427" i="13"/>
  <c r="C428" i="13"/>
  <c r="D361" i="13"/>
  <c r="C362" i="13"/>
  <c r="D240" i="13"/>
  <c r="C241" i="13"/>
  <c r="D29" i="9"/>
  <c r="C778" i="13"/>
  <c r="D777" i="13"/>
  <c r="D952" i="13"/>
  <c r="C953" i="13"/>
  <c r="D191" i="13"/>
  <c r="C192" i="13"/>
  <c r="C1041" i="13"/>
  <c r="D1040" i="13"/>
  <c r="V27" i="10"/>
  <c r="O27" i="10"/>
  <c r="B29" i="11"/>
  <c r="A30" i="11"/>
  <c r="C407" i="13"/>
  <c r="D406" i="13"/>
  <c r="C168" i="13"/>
  <c r="D167" i="13"/>
  <c r="C871" i="13"/>
  <c r="D870" i="13"/>
  <c r="C34" i="13"/>
  <c r="D33" i="13"/>
  <c r="C496" i="13"/>
  <c r="D495" i="13"/>
  <c r="D1068" i="13"/>
  <c r="C1069" i="13"/>
  <c r="C530" i="13"/>
  <c r="D529" i="13"/>
  <c r="C747" i="13"/>
  <c r="D746" i="13"/>
  <c r="A32" i="12"/>
  <c r="B31" i="12"/>
  <c r="D556" i="13"/>
  <c r="C557" i="13"/>
  <c r="N28" i="10"/>
  <c r="D28" i="10"/>
  <c r="A30" i="10"/>
  <c r="U29" i="10"/>
  <c r="C29" i="10"/>
  <c r="B29" i="10"/>
  <c r="C712" i="13"/>
  <c r="D711" i="13"/>
  <c r="C474" i="13"/>
  <c r="D473" i="13"/>
  <c r="C1117" i="13"/>
  <c r="D1116" i="13"/>
  <c r="D806" i="13"/>
  <c r="C807" i="13"/>
  <c r="N29" i="10" l="1"/>
  <c r="D29" i="10"/>
  <c r="D496" i="13"/>
  <c r="C497" i="13"/>
  <c r="D871" i="13"/>
  <c r="C872" i="13"/>
  <c r="C169" i="13"/>
  <c r="D168" i="13"/>
  <c r="A31" i="10"/>
  <c r="U30" i="10"/>
  <c r="B30" i="10"/>
  <c r="C30" i="10"/>
  <c r="A33" i="12"/>
  <c r="B32" i="12"/>
  <c r="D407" i="13"/>
  <c r="C408" i="13"/>
  <c r="C363" i="13"/>
  <c r="D362" i="13"/>
  <c r="C193" i="13"/>
  <c r="D192" i="13"/>
  <c r="D34" i="13"/>
  <c r="C35" i="13"/>
  <c r="C808" i="13"/>
  <c r="D807" i="13"/>
  <c r="C429" i="13"/>
  <c r="D428" i="13"/>
  <c r="V28" i="10"/>
  <c r="O28" i="10"/>
  <c r="C779" i="13"/>
  <c r="D778" i="13"/>
  <c r="C558" i="13"/>
  <c r="D557" i="13"/>
  <c r="D241" i="13"/>
  <c r="C242" i="13"/>
  <c r="C1118" i="13"/>
  <c r="D1117" i="13"/>
  <c r="D474" i="13"/>
  <c r="C475" i="13"/>
  <c r="C531" i="13"/>
  <c r="D530" i="13"/>
  <c r="C954" i="13"/>
  <c r="D953" i="13"/>
  <c r="A31" i="11"/>
  <c r="B30" i="11"/>
  <c r="D747" i="13"/>
  <c r="C748" i="13"/>
  <c r="C1070" i="13"/>
  <c r="D1069" i="13"/>
  <c r="D30" i="9"/>
  <c r="D712" i="13"/>
  <c r="C713" i="13"/>
  <c r="C1042" i="13"/>
  <c r="D1041" i="13"/>
  <c r="A32" i="9"/>
  <c r="C31" i="9"/>
  <c r="B31" i="9"/>
  <c r="D31" i="9" s="1"/>
  <c r="C409" i="13" l="1"/>
  <c r="D409" i="13" s="1"/>
  <c r="D408" i="13"/>
  <c r="D169" i="13"/>
  <c r="C170" i="13"/>
  <c r="C1071" i="13"/>
  <c r="D1070" i="13"/>
  <c r="D748" i="13"/>
  <c r="C749" i="13"/>
  <c r="C873" i="13"/>
  <c r="D872" i="13"/>
  <c r="U31" i="10"/>
  <c r="A32" i="10"/>
  <c r="C31" i="10"/>
  <c r="B31" i="10"/>
  <c r="C809" i="13"/>
  <c r="D808" i="13"/>
  <c r="A32" i="11"/>
  <c r="B31" i="11"/>
  <c r="D1042" i="13"/>
  <c r="C1043" i="13"/>
  <c r="D497" i="13"/>
  <c r="C498" i="13"/>
  <c r="C559" i="13"/>
  <c r="D558" i="13"/>
  <c r="N30" i="10"/>
  <c r="D30" i="10"/>
  <c r="C955" i="13"/>
  <c r="D954" i="13"/>
  <c r="B32" i="9"/>
  <c r="A33" i="9"/>
  <c r="C32" i="9"/>
  <c r="D1118" i="13"/>
  <c r="C1119" i="13"/>
  <c r="D779" i="13"/>
  <c r="C780" i="13"/>
  <c r="C430" i="13"/>
  <c r="D429" i="13"/>
  <c r="C36" i="13"/>
  <c r="D35" i="13"/>
  <c r="C243" i="13"/>
  <c r="D242" i="13"/>
  <c r="V29" i="10"/>
  <c r="O29" i="10"/>
  <c r="A34" i="12"/>
  <c r="B33" i="12"/>
  <c r="C532" i="13"/>
  <c r="D531" i="13"/>
  <c r="C476" i="13"/>
  <c r="D475" i="13"/>
  <c r="C714" i="13"/>
  <c r="D713" i="13"/>
  <c r="D193" i="13"/>
  <c r="C194" i="13"/>
  <c r="D363" i="13"/>
  <c r="C364" i="13"/>
  <c r="N31" i="10" l="1"/>
  <c r="D31" i="10"/>
  <c r="D32" i="9"/>
  <c r="A35" i="12"/>
  <c r="B34" i="12"/>
  <c r="A33" i="10"/>
  <c r="U32" i="10"/>
  <c r="B32" i="10"/>
  <c r="C32" i="10"/>
  <c r="C956" i="13"/>
  <c r="D955" i="13"/>
  <c r="D532" i="13"/>
  <c r="C533" i="13"/>
  <c r="V30" i="10"/>
  <c r="O30" i="10"/>
  <c r="C477" i="13"/>
  <c r="D477" i="13" s="1"/>
  <c r="D476" i="13"/>
  <c r="C874" i="13"/>
  <c r="D873" i="13"/>
  <c r="C244" i="13"/>
  <c r="D243" i="13"/>
  <c r="C750" i="13"/>
  <c r="D749" i="13"/>
  <c r="D364" i="13"/>
  <c r="C365" i="13"/>
  <c r="C560" i="13"/>
  <c r="D559" i="13"/>
  <c r="A34" i="9"/>
  <c r="C33" i="9"/>
  <c r="B33" i="9"/>
  <c r="C37" i="13"/>
  <c r="D36" i="13"/>
  <c r="C499" i="13"/>
  <c r="D498" i="13"/>
  <c r="C195" i="13"/>
  <c r="D194" i="13"/>
  <c r="D1071" i="13"/>
  <c r="C1072" i="13"/>
  <c r="C810" i="13"/>
  <c r="D809" i="13"/>
  <c r="D430" i="13"/>
  <c r="C431" i="13"/>
  <c r="D1043" i="13"/>
  <c r="C1044" i="13"/>
  <c r="C171" i="13"/>
  <c r="D170" i="13"/>
  <c r="C781" i="13"/>
  <c r="D780" i="13"/>
  <c r="D714" i="13"/>
  <c r="C715" i="13"/>
  <c r="D1119" i="13"/>
  <c r="C1120" i="13"/>
  <c r="B32" i="11"/>
  <c r="A33" i="11"/>
  <c r="C782" i="13" l="1"/>
  <c r="D781" i="13"/>
  <c r="C38" i="13"/>
  <c r="D37" i="13"/>
  <c r="D33" i="9"/>
  <c r="C172" i="13"/>
  <c r="D171" i="13"/>
  <c r="C432" i="13"/>
  <c r="D431" i="13"/>
  <c r="C561" i="13"/>
  <c r="D560" i="13"/>
  <c r="D956" i="13"/>
  <c r="C957" i="13"/>
  <c r="C366" i="13"/>
  <c r="D365" i="13"/>
  <c r="C534" i="13"/>
  <c r="D533" i="13"/>
  <c r="N32" i="10"/>
  <c r="D32" i="10"/>
  <c r="C811" i="13"/>
  <c r="D810" i="13"/>
  <c r="A35" i="9"/>
  <c r="B34" i="9"/>
  <c r="D34" i="9" s="1"/>
  <c r="C34" i="9"/>
  <c r="A34" i="11"/>
  <c r="B33" i="11"/>
  <c r="C1073" i="13"/>
  <c r="D1072" i="13"/>
  <c r="C751" i="13"/>
  <c r="D750" i="13"/>
  <c r="U33" i="10"/>
  <c r="A34" i="10"/>
  <c r="C33" i="10"/>
  <c r="B33" i="10"/>
  <c r="C1045" i="13"/>
  <c r="D1044" i="13"/>
  <c r="C1121" i="13"/>
  <c r="D1120" i="13"/>
  <c r="D244" i="13"/>
  <c r="C245" i="13"/>
  <c r="A36" i="12"/>
  <c r="B35" i="12"/>
  <c r="C716" i="13"/>
  <c r="D715" i="13"/>
  <c r="C875" i="13"/>
  <c r="D874" i="13"/>
  <c r="V31" i="10"/>
  <c r="O31" i="10"/>
  <c r="D195" i="13"/>
  <c r="C196" i="13"/>
  <c r="C500" i="13"/>
  <c r="D499" i="13"/>
  <c r="C876" i="13" l="1"/>
  <c r="D875" i="13"/>
  <c r="C246" i="13"/>
  <c r="D245" i="13"/>
  <c r="D432" i="13"/>
  <c r="C433" i="13"/>
  <c r="C367" i="13"/>
  <c r="D366" i="13"/>
  <c r="C562" i="13"/>
  <c r="D561" i="13"/>
  <c r="A35" i="11"/>
  <c r="B34" i="11"/>
  <c r="C173" i="13"/>
  <c r="D172" i="13"/>
  <c r="C1074" i="13"/>
  <c r="D1073" i="13"/>
  <c r="D534" i="13"/>
  <c r="C535" i="13"/>
  <c r="C35" i="9"/>
  <c r="B35" i="9"/>
  <c r="D35" i="9" s="1"/>
  <c r="A36" i="9"/>
  <c r="C1122" i="13"/>
  <c r="D1121" i="13"/>
  <c r="C812" i="13"/>
  <c r="D811" i="13"/>
  <c r="V32" i="10"/>
  <c r="O32" i="10"/>
  <c r="C39" i="13"/>
  <c r="D38" i="13"/>
  <c r="D957" i="13"/>
  <c r="C958" i="13"/>
  <c r="D716" i="13"/>
  <c r="C717" i="13"/>
  <c r="A37" i="12"/>
  <c r="B36" i="12"/>
  <c r="C1046" i="13"/>
  <c r="D1045" i="13"/>
  <c r="C197" i="13"/>
  <c r="D196" i="13"/>
  <c r="N33" i="10"/>
  <c r="D33" i="10"/>
  <c r="U34" i="10"/>
  <c r="A35" i="10"/>
  <c r="C34" i="10"/>
  <c r="B34" i="10"/>
  <c r="D751" i="13"/>
  <c r="C752" i="13"/>
  <c r="C501" i="13"/>
  <c r="D500" i="13"/>
  <c r="D782" i="13"/>
  <c r="C783" i="13"/>
  <c r="D1074" i="13" l="1"/>
  <c r="C1075" i="13"/>
  <c r="C368" i="13"/>
  <c r="D367" i="13"/>
  <c r="C563" i="13"/>
  <c r="D562" i="13"/>
  <c r="N34" i="10"/>
  <c r="D34" i="10"/>
  <c r="D39" i="13"/>
  <c r="C40" i="13"/>
  <c r="D812" i="13"/>
  <c r="C813" i="13"/>
  <c r="D1122" i="13"/>
  <c r="C1123" i="13"/>
  <c r="D1046" i="13"/>
  <c r="C1047" i="13"/>
  <c r="D752" i="13"/>
  <c r="C753" i="13"/>
  <c r="D173" i="13"/>
  <c r="C174" i="13"/>
  <c r="D174" i="13" s="1"/>
  <c r="B35" i="11"/>
  <c r="A36" i="11"/>
  <c r="V33" i="10"/>
  <c r="O33" i="10"/>
  <c r="C434" i="13"/>
  <c r="D433" i="13"/>
  <c r="A37" i="9"/>
  <c r="C36" i="9"/>
  <c r="B36" i="9"/>
  <c r="D36" i="9" s="1"/>
  <c r="D246" i="13"/>
  <c r="C247" i="13"/>
  <c r="D958" i="13"/>
  <c r="C959" i="13"/>
  <c r="D783" i="13"/>
  <c r="C784" i="13"/>
  <c r="A38" i="12"/>
  <c r="B37" i="12"/>
  <c r="D535" i="13"/>
  <c r="C536" i="13"/>
  <c r="C502" i="13"/>
  <c r="D501" i="13"/>
  <c r="A36" i="10"/>
  <c r="U35" i="10"/>
  <c r="O35" i="9"/>
  <c r="P35" i="9" s="1"/>
  <c r="Q35" i="9" s="1"/>
  <c r="B35" i="10"/>
  <c r="C35" i="10"/>
  <c r="C198" i="13"/>
  <c r="D197" i="13"/>
  <c r="C718" i="13"/>
  <c r="D717" i="13"/>
  <c r="D876" i="13"/>
  <c r="C877" i="13"/>
  <c r="D1123" i="13" l="1"/>
  <c r="C1124" i="13"/>
  <c r="C814" i="13"/>
  <c r="D813" i="13"/>
  <c r="C248" i="13"/>
  <c r="D247" i="13"/>
  <c r="U36" i="10"/>
  <c r="A37" i="10"/>
  <c r="C36" i="10"/>
  <c r="B36" i="10"/>
  <c r="C537" i="13"/>
  <c r="D536" i="13"/>
  <c r="N35" i="10"/>
  <c r="D35" i="10"/>
  <c r="C199" i="13"/>
  <c r="D198" i="13"/>
  <c r="B37" i="9"/>
  <c r="A38" i="9"/>
  <c r="C37" i="9"/>
  <c r="C41" i="13"/>
  <c r="D40" i="13"/>
  <c r="V34" i="10"/>
  <c r="O34" i="10"/>
  <c r="B36" i="11"/>
  <c r="A37" i="11"/>
  <c r="D563" i="13"/>
  <c r="C564" i="13"/>
  <c r="C878" i="13"/>
  <c r="D877" i="13"/>
  <c r="C785" i="13"/>
  <c r="D784" i="13"/>
  <c r="D368" i="13"/>
  <c r="C369" i="13"/>
  <c r="D1047" i="13"/>
  <c r="C1048" i="13"/>
  <c r="D434" i="13"/>
  <c r="C435" i="13"/>
  <c r="D502" i="13"/>
  <c r="C503" i="13"/>
  <c r="D1075" i="13"/>
  <c r="C1076" i="13"/>
  <c r="A39" i="12"/>
  <c r="B38" i="12"/>
  <c r="C754" i="13"/>
  <c r="D753" i="13"/>
  <c r="D718" i="13"/>
  <c r="C719" i="13"/>
  <c r="D959" i="13"/>
  <c r="C960" i="13"/>
  <c r="C200" i="13" l="1"/>
  <c r="D199" i="13"/>
  <c r="D754" i="13"/>
  <c r="C755" i="13"/>
  <c r="A40" i="12"/>
  <c r="B39" i="12"/>
  <c r="V35" i="10"/>
  <c r="O35" i="10"/>
  <c r="D564" i="13"/>
  <c r="C565" i="13"/>
  <c r="C786" i="13"/>
  <c r="D785" i="13"/>
  <c r="D719" i="13"/>
  <c r="C720" i="13"/>
  <c r="D878" i="13"/>
  <c r="C879" i="13"/>
  <c r="B37" i="11"/>
  <c r="A38" i="11"/>
  <c r="C249" i="13"/>
  <c r="D248" i="13"/>
  <c r="N36" i="10"/>
  <c r="D36" i="10"/>
  <c r="D814" i="13"/>
  <c r="C815" i="13"/>
  <c r="C538" i="13"/>
  <c r="D538" i="13" s="1"/>
  <c r="D537" i="13"/>
  <c r="D1076" i="13"/>
  <c r="C1077" i="13"/>
  <c r="A38" i="10"/>
  <c r="U37" i="10"/>
  <c r="C37" i="10"/>
  <c r="B37" i="10"/>
  <c r="C436" i="13"/>
  <c r="D435" i="13"/>
  <c r="D1048" i="13"/>
  <c r="C1049" i="13"/>
  <c r="D1049" i="13" s="1"/>
  <c r="A39" i="9"/>
  <c r="C38" i="9"/>
  <c r="B38" i="9"/>
  <c r="D38" i="9" s="1"/>
  <c r="D1124" i="13"/>
  <c r="C1125" i="13"/>
  <c r="D503" i="13"/>
  <c r="C504" i="13"/>
  <c r="D41" i="13"/>
  <c r="C42" i="13"/>
  <c r="C961" i="13"/>
  <c r="D960" i="13"/>
  <c r="D369" i="13"/>
  <c r="C370" i="13"/>
  <c r="D37" i="9"/>
  <c r="D42" i="13" l="1"/>
  <c r="C43" i="13"/>
  <c r="N37" i="10"/>
  <c r="D37" i="10"/>
  <c r="C1126" i="13"/>
  <c r="D1125" i="13"/>
  <c r="C721" i="13"/>
  <c r="D720" i="13"/>
  <c r="D815" i="13"/>
  <c r="C816" i="13"/>
  <c r="A41" i="12"/>
  <c r="B40" i="12"/>
  <c r="C962" i="13"/>
  <c r="D961" i="13"/>
  <c r="A40" i="9"/>
  <c r="B39" i="9"/>
  <c r="D39" i="9" s="1"/>
  <c r="C39" i="9"/>
  <c r="D755" i="13"/>
  <c r="C756" i="13"/>
  <c r="D879" i="13"/>
  <c r="C880" i="13"/>
  <c r="D1077" i="13"/>
  <c r="C1078" i="13"/>
  <c r="C250" i="13"/>
  <c r="D249" i="13"/>
  <c r="U38" i="10"/>
  <c r="A39" i="10"/>
  <c r="C38" i="10"/>
  <c r="B38" i="10"/>
  <c r="C505" i="13"/>
  <c r="D504" i="13"/>
  <c r="C566" i="13"/>
  <c r="D565" i="13"/>
  <c r="A39" i="11"/>
  <c r="B38" i="11"/>
  <c r="D786" i="13"/>
  <c r="C787" i="13"/>
  <c r="O36" i="10"/>
  <c r="V36" i="10"/>
  <c r="C371" i="13"/>
  <c r="D370" i="13"/>
  <c r="C437" i="13"/>
  <c r="D436" i="13"/>
  <c r="D200" i="13"/>
  <c r="C201" i="13"/>
  <c r="C567" i="13" l="1"/>
  <c r="D566" i="13"/>
  <c r="A41" i="9"/>
  <c r="C40" i="9"/>
  <c r="B40" i="9"/>
  <c r="D40" i="9" s="1"/>
  <c r="C202" i="13"/>
  <c r="D201" i="13"/>
  <c r="D962" i="13"/>
  <c r="C963" i="13"/>
  <c r="C372" i="13"/>
  <c r="D372" i="13" s="1"/>
  <c r="D371" i="13"/>
  <c r="N38" i="10"/>
  <c r="D38" i="10"/>
  <c r="A42" i="12"/>
  <c r="B41" i="12"/>
  <c r="D1078" i="13"/>
  <c r="C1079" i="13"/>
  <c r="C722" i="13"/>
  <c r="D721" i="13"/>
  <c r="C506" i="13"/>
  <c r="D505" i="13"/>
  <c r="D816" i="13"/>
  <c r="C817" i="13"/>
  <c r="C251" i="13"/>
  <c r="D250" i="13"/>
  <c r="C1127" i="13"/>
  <c r="D1126" i="13"/>
  <c r="V37" i="10"/>
  <c r="O37" i="10"/>
  <c r="C438" i="13"/>
  <c r="D437" i="13"/>
  <c r="D787" i="13"/>
  <c r="C788" i="13"/>
  <c r="D788" i="13" s="1"/>
  <c r="D880" i="13"/>
  <c r="C881" i="13"/>
  <c r="C757" i="13"/>
  <c r="D756" i="13"/>
  <c r="A40" i="11"/>
  <c r="B39" i="11"/>
  <c r="D43" i="13"/>
  <c r="C44" i="13"/>
  <c r="A40" i="10"/>
  <c r="U39" i="10"/>
  <c r="B39" i="10"/>
  <c r="C39" i="10"/>
  <c r="C1128" i="13" l="1"/>
  <c r="D1127" i="13"/>
  <c r="O38" i="10"/>
  <c r="V38" i="10"/>
  <c r="D438" i="13"/>
  <c r="C439" i="13"/>
  <c r="C45" i="13"/>
  <c r="D44" i="13"/>
  <c r="C252" i="13"/>
  <c r="D251" i="13"/>
  <c r="A41" i="11"/>
  <c r="B40" i="11"/>
  <c r="D506" i="13"/>
  <c r="C507" i="13"/>
  <c r="N39" i="10"/>
  <c r="D39" i="10"/>
  <c r="U40" i="10"/>
  <c r="A41" i="10"/>
  <c r="B40" i="10"/>
  <c r="C40" i="10"/>
  <c r="D963" i="13"/>
  <c r="C964" i="13"/>
  <c r="C818" i="13"/>
  <c r="D817" i="13"/>
  <c r="C203" i="13"/>
  <c r="D202" i="13"/>
  <c r="D757" i="13"/>
  <c r="C758" i="13"/>
  <c r="D758" i="13" s="1"/>
  <c r="C882" i="13"/>
  <c r="D881" i="13"/>
  <c r="B41" i="9"/>
  <c r="D41" i="9" s="1"/>
  <c r="A42" i="9"/>
  <c r="C41" i="9"/>
  <c r="D722" i="13"/>
  <c r="C723" i="13"/>
  <c r="A43" i="12"/>
  <c r="B42" i="12"/>
  <c r="C1080" i="13"/>
  <c r="D1079" i="13"/>
  <c r="C568" i="13"/>
  <c r="D567" i="13"/>
  <c r="D507" i="13" l="1"/>
  <c r="C508" i="13"/>
  <c r="D882" i="13"/>
  <c r="C883" i="13"/>
  <c r="V39" i="10"/>
  <c r="O39" i="10"/>
  <c r="D568" i="13"/>
  <c r="C569" i="13"/>
  <c r="D818" i="13"/>
  <c r="C819" i="13"/>
  <c r="D1080" i="13"/>
  <c r="C1081" i="13"/>
  <c r="C204" i="13"/>
  <c r="D203" i="13"/>
  <c r="C46" i="13"/>
  <c r="D45" i="13"/>
  <c r="D439" i="13"/>
  <c r="C440" i="13"/>
  <c r="D723" i="13"/>
  <c r="C724" i="13"/>
  <c r="N40" i="10"/>
  <c r="D40" i="10"/>
  <c r="A43" i="9"/>
  <c r="C42" i="9"/>
  <c r="B42" i="9"/>
  <c r="D42" i="9" s="1"/>
  <c r="C253" i="13"/>
  <c r="D252" i="13"/>
  <c r="U41" i="10"/>
  <c r="A42" i="10"/>
  <c r="C41" i="10"/>
  <c r="B41" i="10"/>
  <c r="A42" i="11"/>
  <c r="B41" i="11"/>
  <c r="D964" i="13"/>
  <c r="C965" i="13"/>
  <c r="A44" i="12"/>
  <c r="B43" i="12"/>
  <c r="D1128" i="13"/>
  <c r="C1129" i="13"/>
  <c r="B42" i="11" l="1"/>
  <c r="A43" i="11"/>
  <c r="C1082" i="13"/>
  <c r="D1081" i="13"/>
  <c r="C205" i="13"/>
  <c r="D204" i="13"/>
  <c r="D819" i="13"/>
  <c r="C820" i="13"/>
  <c r="A44" i="9"/>
  <c r="B43" i="9"/>
  <c r="D43" i="9" s="1"/>
  <c r="C43" i="9"/>
  <c r="C1130" i="13"/>
  <c r="D1129" i="13"/>
  <c r="D883" i="13"/>
  <c r="C884" i="13"/>
  <c r="N41" i="10"/>
  <c r="D41" i="10"/>
  <c r="U42" i="10"/>
  <c r="A43" i="10"/>
  <c r="C42" i="10"/>
  <c r="B42" i="10"/>
  <c r="C254" i="13"/>
  <c r="D253" i="13"/>
  <c r="C570" i="13"/>
  <c r="D569" i="13"/>
  <c r="V40" i="10"/>
  <c r="O40" i="10"/>
  <c r="D965" i="13"/>
  <c r="C966" i="13"/>
  <c r="D46" i="13"/>
  <c r="C47" i="13"/>
  <c r="B44" i="12"/>
  <c r="A45" i="12"/>
  <c r="D440" i="13"/>
  <c r="C441" i="13"/>
  <c r="C509" i="13"/>
  <c r="D509" i="13" s="1"/>
  <c r="D508" i="13"/>
  <c r="D724" i="13"/>
  <c r="C725" i="13"/>
  <c r="D966" i="13" l="1"/>
  <c r="C967" i="13"/>
  <c r="D820" i="13"/>
  <c r="C821" i="13"/>
  <c r="N42" i="10"/>
  <c r="D42" i="10"/>
  <c r="D884" i="13"/>
  <c r="C885" i="13"/>
  <c r="C571" i="13"/>
  <c r="D570" i="13"/>
  <c r="C255" i="13"/>
  <c r="D254" i="13"/>
  <c r="D47" i="13"/>
  <c r="C48" i="13"/>
  <c r="D725" i="13"/>
  <c r="C726" i="13"/>
  <c r="A44" i="10"/>
  <c r="U43" i="10"/>
  <c r="B43" i="10"/>
  <c r="C43" i="10"/>
  <c r="J43" i="10"/>
  <c r="K43" i="10" s="1"/>
  <c r="L43" i="10" s="1"/>
  <c r="C1083" i="13"/>
  <c r="D1082" i="13"/>
  <c r="A44" i="11"/>
  <c r="B43" i="11"/>
  <c r="C1131" i="13"/>
  <c r="D1130" i="13"/>
  <c r="A45" i="9"/>
  <c r="C44" i="9"/>
  <c r="B44" i="9"/>
  <c r="D44" i="9" s="1"/>
  <c r="D205" i="13"/>
  <c r="C206" i="13"/>
  <c r="D441" i="13"/>
  <c r="C442" i="13"/>
  <c r="A46" i="12"/>
  <c r="B45" i="12"/>
  <c r="V41" i="10"/>
  <c r="O41" i="10"/>
  <c r="C727" i="13" l="1"/>
  <c r="D727" i="13" s="1"/>
  <c r="D726" i="13"/>
  <c r="D48" i="13"/>
  <c r="C49" i="13"/>
  <c r="C822" i="13"/>
  <c r="D821" i="13"/>
  <c r="D255" i="13"/>
  <c r="C256" i="13"/>
  <c r="D571" i="13"/>
  <c r="C572" i="13"/>
  <c r="D206" i="13"/>
  <c r="C207" i="13"/>
  <c r="D885" i="13"/>
  <c r="C886" i="13"/>
  <c r="C1084" i="13"/>
  <c r="D1083" i="13"/>
  <c r="D43" i="10"/>
  <c r="N43" i="10"/>
  <c r="D442" i="13"/>
  <c r="C443" i="13"/>
  <c r="C968" i="13"/>
  <c r="D967" i="13"/>
  <c r="B45" i="9"/>
  <c r="A46" i="9"/>
  <c r="C45" i="9"/>
  <c r="C1132" i="13"/>
  <c r="D1131" i="13"/>
  <c r="A45" i="11"/>
  <c r="B44" i="11"/>
  <c r="V42" i="10"/>
  <c r="O42" i="10"/>
  <c r="A47" i="12"/>
  <c r="B46" i="12"/>
  <c r="A45" i="10"/>
  <c r="U44" i="10"/>
  <c r="C44" i="10"/>
  <c r="B44" i="10"/>
  <c r="A48" i="12" l="1"/>
  <c r="B47" i="12"/>
  <c r="D207" i="13"/>
  <c r="C208" i="13"/>
  <c r="D45" i="9"/>
  <c r="D822" i="13"/>
  <c r="C823" i="13"/>
  <c r="C887" i="13"/>
  <c r="D886" i="13"/>
  <c r="C1133" i="13"/>
  <c r="D1132" i="13"/>
  <c r="D443" i="13"/>
  <c r="C444" i="13"/>
  <c r="D1084" i="13"/>
  <c r="C1085" i="13"/>
  <c r="A47" i="9"/>
  <c r="C46" i="9"/>
  <c r="B46" i="9"/>
  <c r="D46" i="9" s="1"/>
  <c r="D968" i="13"/>
  <c r="C969" i="13"/>
  <c r="N44" i="10"/>
  <c r="D44" i="10"/>
  <c r="C50" i="13"/>
  <c r="D49" i="13"/>
  <c r="A46" i="10"/>
  <c r="U45" i="10"/>
  <c r="B45" i="10"/>
  <c r="C45" i="10"/>
  <c r="B45" i="11"/>
  <c r="A46" i="11"/>
  <c r="D572" i="13"/>
  <c r="C573" i="13"/>
  <c r="D256" i="13"/>
  <c r="C257" i="13"/>
  <c r="V43" i="10"/>
  <c r="O43" i="10"/>
  <c r="N45" i="10" l="1"/>
  <c r="D45" i="10"/>
  <c r="C209" i="13"/>
  <c r="D208" i="13"/>
  <c r="B46" i="11"/>
  <c r="A47" i="11"/>
  <c r="C445" i="13"/>
  <c r="D444" i="13"/>
  <c r="D50" i="13"/>
  <c r="C51" i="13"/>
  <c r="A48" i="9"/>
  <c r="B47" i="9"/>
  <c r="D47" i="9" s="1"/>
  <c r="C47" i="9"/>
  <c r="C1134" i="13"/>
  <c r="D1133" i="13"/>
  <c r="D887" i="13"/>
  <c r="C888" i="13"/>
  <c r="C970" i="13"/>
  <c r="D969" i="13"/>
  <c r="C258" i="13"/>
  <c r="D257" i="13"/>
  <c r="D573" i="13"/>
  <c r="C574" i="13"/>
  <c r="D1085" i="13"/>
  <c r="C1086" i="13"/>
  <c r="A47" i="10"/>
  <c r="U46" i="10"/>
  <c r="C46" i="10"/>
  <c r="J46" i="10"/>
  <c r="K46" i="10" s="1"/>
  <c r="L46" i="10" s="1"/>
  <c r="B46" i="10"/>
  <c r="D823" i="13"/>
  <c r="C824" i="13"/>
  <c r="O44" i="10"/>
  <c r="V44" i="10"/>
  <c r="A49" i="12"/>
  <c r="B49" i="12" s="1"/>
  <c r="B48" i="12"/>
  <c r="D824" i="13" l="1"/>
  <c r="C825" i="13"/>
  <c r="C1135" i="13"/>
  <c r="D1134" i="13"/>
  <c r="U47" i="10"/>
  <c r="A48" i="10"/>
  <c r="C47" i="10"/>
  <c r="J47" i="10"/>
  <c r="K47" i="10" s="1"/>
  <c r="L47" i="10" s="1"/>
  <c r="B47" i="10"/>
  <c r="C210" i="13"/>
  <c r="D209" i="13"/>
  <c r="A49" i="9"/>
  <c r="C48" i="9"/>
  <c r="B48" i="9"/>
  <c r="D48" i="9" s="1"/>
  <c r="C1087" i="13"/>
  <c r="D1086" i="13"/>
  <c r="D445" i="13"/>
  <c r="C446" i="13"/>
  <c r="C971" i="13"/>
  <c r="D970" i="13"/>
  <c r="V45" i="10"/>
  <c r="O45" i="10"/>
  <c r="N46" i="10"/>
  <c r="D46" i="10"/>
  <c r="D51" i="13"/>
  <c r="C52" i="13"/>
  <c r="C575" i="13"/>
  <c r="D574" i="13"/>
  <c r="A48" i="11"/>
  <c r="B47" i="11"/>
  <c r="D258" i="13"/>
  <c r="C259" i="13"/>
  <c r="D888" i="13"/>
  <c r="C889" i="13"/>
  <c r="C260" i="13" l="1"/>
  <c r="D259" i="13"/>
  <c r="D1087" i="13"/>
  <c r="C1088" i="13"/>
  <c r="B49" i="9"/>
  <c r="D49" i="9" s="1"/>
  <c r="C49" i="9"/>
  <c r="C53" i="13"/>
  <c r="D52" i="13"/>
  <c r="C576" i="13"/>
  <c r="D575" i="13"/>
  <c r="N47" i="10"/>
  <c r="D47" i="10"/>
  <c r="V46" i="10"/>
  <c r="O46" i="10"/>
  <c r="U48" i="10"/>
  <c r="A49" i="10"/>
  <c r="B48" i="10"/>
  <c r="C48" i="10"/>
  <c r="J48" i="10"/>
  <c r="K48" i="10" s="1"/>
  <c r="L48" i="10" s="1"/>
  <c r="C972" i="13"/>
  <c r="D971" i="13"/>
  <c r="D1135" i="13"/>
  <c r="C1136" i="13"/>
  <c r="C890" i="13"/>
  <c r="D889" i="13"/>
  <c r="D446" i="13"/>
  <c r="C447" i="13"/>
  <c r="C826" i="13"/>
  <c r="D825" i="13"/>
  <c r="A49" i="11"/>
  <c r="B49" i="11" s="1"/>
  <c r="B48" i="11"/>
  <c r="D210" i="13"/>
  <c r="C211" i="13"/>
  <c r="D826" i="13" l="1"/>
  <c r="C827" i="13"/>
  <c r="C1137" i="13"/>
  <c r="D1136" i="13"/>
  <c r="A50" i="10"/>
  <c r="U49" i="10"/>
  <c r="B49" i="10"/>
  <c r="J49" i="10"/>
  <c r="K49" i="10" s="1"/>
  <c r="L49" i="10" s="1"/>
  <c r="C49" i="10"/>
  <c r="C577" i="13"/>
  <c r="D576" i="13"/>
  <c r="C973" i="13"/>
  <c r="D972" i="13"/>
  <c r="C1089" i="13"/>
  <c r="D1088" i="13"/>
  <c r="C54" i="13"/>
  <c r="D53" i="13"/>
  <c r="C448" i="13"/>
  <c r="D447" i="13"/>
  <c r="O47" i="10"/>
  <c r="V47" i="10"/>
  <c r="C891" i="13"/>
  <c r="D890" i="13"/>
  <c r="C212" i="13"/>
  <c r="D211" i="13"/>
  <c r="N48" i="10"/>
  <c r="D48" i="10"/>
  <c r="D260" i="13"/>
  <c r="C261" i="13"/>
  <c r="C1090" i="13" l="1"/>
  <c r="D1089" i="13"/>
  <c r="C262" i="13"/>
  <c r="D261" i="13"/>
  <c r="N49" i="10"/>
  <c r="D49" i="10"/>
  <c r="V48" i="10"/>
  <c r="O48" i="10"/>
  <c r="D212" i="13"/>
  <c r="C213" i="13"/>
  <c r="C892" i="13"/>
  <c r="D891" i="13"/>
  <c r="C1138" i="13"/>
  <c r="D1137" i="13"/>
  <c r="D973" i="13"/>
  <c r="C974" i="13"/>
  <c r="U50" i="10"/>
  <c r="B50" i="10"/>
  <c r="C50" i="10"/>
  <c r="D448" i="13"/>
  <c r="C449" i="13"/>
  <c r="C828" i="13"/>
  <c r="D827" i="13"/>
  <c r="D54" i="13"/>
  <c r="C55" i="13"/>
  <c r="C578" i="13"/>
  <c r="D577" i="13"/>
  <c r="D974" i="13" l="1"/>
  <c r="C975" i="13"/>
  <c r="D1138" i="13"/>
  <c r="C1139" i="13"/>
  <c r="C579" i="13"/>
  <c r="D578" i="13"/>
  <c r="D892" i="13"/>
  <c r="C893" i="13"/>
  <c r="D893" i="13" s="1"/>
  <c r="C56" i="13"/>
  <c r="D55" i="13"/>
  <c r="D213" i="13"/>
  <c r="C214" i="13"/>
  <c r="C450" i="13"/>
  <c r="D449" i="13"/>
  <c r="C263" i="13"/>
  <c r="D262" i="13"/>
  <c r="D828" i="13"/>
  <c r="C829" i="13"/>
  <c r="O49" i="10"/>
  <c r="V49" i="10"/>
  <c r="N50" i="10"/>
  <c r="D50" i="10"/>
  <c r="D1090" i="13"/>
  <c r="C1091" i="13"/>
  <c r="C215" i="13" l="1"/>
  <c r="D214" i="13"/>
  <c r="C264" i="13"/>
  <c r="D263" i="13"/>
  <c r="C57" i="13"/>
  <c r="D56" i="13"/>
  <c r="C580" i="13"/>
  <c r="D579" i="13"/>
  <c r="C830" i="13"/>
  <c r="D829" i="13"/>
  <c r="D975" i="13"/>
  <c r="C976" i="13"/>
  <c r="C451" i="13"/>
  <c r="D451" i="13" s="1"/>
  <c r="D450" i="13"/>
  <c r="D1091" i="13"/>
  <c r="C1092" i="13"/>
  <c r="V50" i="10"/>
  <c r="O50" i="10"/>
  <c r="D1139" i="13"/>
  <c r="C1140" i="13"/>
  <c r="D1140" i="13" s="1"/>
  <c r="D580" i="13" l="1"/>
  <c r="C581" i="13"/>
  <c r="D57" i="13"/>
  <c r="C58" i="13"/>
  <c r="C1093" i="13"/>
  <c r="D1092" i="13"/>
  <c r="C977" i="13"/>
  <c r="D976" i="13"/>
  <c r="C265" i="13"/>
  <c r="D264" i="13"/>
  <c r="C831" i="13"/>
  <c r="D830" i="13"/>
  <c r="C216" i="13"/>
  <c r="D215" i="13"/>
  <c r="C266" i="13" l="1"/>
  <c r="D265" i="13"/>
  <c r="D831" i="13"/>
  <c r="C832" i="13"/>
  <c r="C978" i="13"/>
  <c r="D977" i="13"/>
  <c r="D1093" i="13"/>
  <c r="C1094" i="13"/>
  <c r="C582" i="13"/>
  <c r="D581" i="13"/>
  <c r="C59" i="13"/>
  <c r="D58" i="13"/>
  <c r="C217" i="13"/>
  <c r="D216" i="13"/>
  <c r="C583" i="13" l="1"/>
  <c r="D582" i="13"/>
  <c r="D59" i="13"/>
  <c r="C60" i="13"/>
  <c r="D832" i="13"/>
  <c r="C833" i="13"/>
  <c r="D217" i="13"/>
  <c r="C218" i="13"/>
  <c r="D1094" i="13"/>
  <c r="C1095" i="13"/>
  <c r="D978" i="13"/>
  <c r="C979" i="13"/>
  <c r="C267" i="13"/>
  <c r="D266" i="13"/>
  <c r="D60" i="13" l="1"/>
  <c r="C61" i="13"/>
  <c r="D583" i="13"/>
  <c r="C584" i="13"/>
  <c r="D1095" i="13"/>
  <c r="C1096" i="13"/>
  <c r="D979" i="13"/>
  <c r="C980" i="13"/>
  <c r="C219" i="13"/>
  <c r="D218" i="13"/>
  <c r="C834" i="13"/>
  <c r="D833" i="13"/>
  <c r="D267" i="13"/>
  <c r="C268" i="13"/>
  <c r="D584" i="13" l="1"/>
  <c r="C585" i="13"/>
  <c r="D61" i="13"/>
  <c r="C62" i="13"/>
  <c r="C269" i="13"/>
  <c r="D268" i="13"/>
  <c r="D834" i="13"/>
  <c r="C835" i="13"/>
  <c r="C220" i="13"/>
  <c r="D220" i="13" s="1"/>
  <c r="D219" i="13"/>
  <c r="D980" i="13"/>
  <c r="C981" i="13"/>
  <c r="D1096" i="13"/>
  <c r="C1097" i="13"/>
  <c r="D1097" i="13" s="1"/>
  <c r="C982" i="13" l="1"/>
  <c r="D981" i="13"/>
  <c r="C270" i="13"/>
  <c r="D269" i="13"/>
  <c r="C63" i="13"/>
  <c r="D62" i="13"/>
  <c r="C586" i="13"/>
  <c r="D585" i="13"/>
  <c r="D835" i="13"/>
  <c r="C836" i="13"/>
  <c r="C837" i="13" l="1"/>
  <c r="D836" i="13"/>
  <c r="C64" i="13"/>
  <c r="D63" i="13"/>
  <c r="C587" i="13"/>
  <c r="D586" i="13"/>
  <c r="C271" i="13"/>
  <c r="D270" i="13"/>
  <c r="D982" i="13"/>
  <c r="C983" i="13"/>
  <c r="C984" i="13" l="1"/>
  <c r="D983" i="13"/>
  <c r="C272" i="13"/>
  <c r="D271" i="13"/>
  <c r="C588" i="13"/>
  <c r="D587" i="13"/>
  <c r="D64" i="13"/>
  <c r="C65" i="13"/>
  <c r="C838" i="13"/>
  <c r="D837" i="13"/>
  <c r="C839" i="13" l="1"/>
  <c r="D838" i="13"/>
  <c r="C66" i="13"/>
  <c r="D65" i="13"/>
  <c r="D588" i="13"/>
  <c r="C589" i="13"/>
  <c r="D272" i="13"/>
  <c r="C273" i="13"/>
  <c r="D984" i="13"/>
  <c r="C985" i="13"/>
  <c r="C986" i="13" l="1"/>
  <c r="D985" i="13"/>
  <c r="C274" i="13"/>
  <c r="D273" i="13"/>
  <c r="C590" i="13"/>
  <c r="D589" i="13"/>
  <c r="D66" i="13"/>
  <c r="C67" i="13"/>
  <c r="D839" i="13"/>
  <c r="C840" i="13"/>
  <c r="C68" i="13" l="1"/>
  <c r="D67" i="13"/>
  <c r="C841" i="13"/>
  <c r="D840" i="13"/>
  <c r="C591" i="13"/>
  <c r="D590" i="13"/>
  <c r="D274" i="13"/>
  <c r="C275" i="13"/>
  <c r="C987" i="13"/>
  <c r="D986" i="13"/>
  <c r="C276" i="13" l="1"/>
  <c r="D275" i="13"/>
  <c r="C592" i="13"/>
  <c r="D591" i="13"/>
  <c r="C988" i="13"/>
  <c r="D987" i="13"/>
  <c r="C842" i="13"/>
  <c r="D841" i="13"/>
  <c r="D68" i="13"/>
  <c r="C69" i="13"/>
  <c r="D988" i="13" l="1"/>
  <c r="C989" i="13"/>
  <c r="C70" i="13"/>
  <c r="D69" i="13"/>
  <c r="C843" i="13"/>
  <c r="D842" i="13"/>
  <c r="C593" i="13"/>
  <c r="D592" i="13"/>
  <c r="C277" i="13"/>
  <c r="D276" i="13"/>
  <c r="C278" i="13" l="1"/>
  <c r="D277" i="13"/>
  <c r="D593" i="13"/>
  <c r="C594" i="13"/>
  <c r="C844" i="13"/>
  <c r="D843" i="13"/>
  <c r="D70" i="13"/>
  <c r="C71" i="13"/>
  <c r="D989" i="13"/>
  <c r="C990" i="13"/>
  <c r="D71" i="13" l="1"/>
  <c r="C72" i="13"/>
  <c r="D990" i="13"/>
  <c r="C991" i="13"/>
  <c r="D844" i="13"/>
  <c r="C845" i="13"/>
  <c r="C595" i="13"/>
  <c r="D594" i="13"/>
  <c r="D278" i="13"/>
  <c r="C279" i="13"/>
  <c r="D991" i="13" l="1"/>
  <c r="C992" i="13"/>
  <c r="C596" i="13"/>
  <c r="D595" i="13"/>
  <c r="C73" i="13"/>
  <c r="D72" i="13"/>
  <c r="D279" i="13"/>
  <c r="C280" i="13"/>
  <c r="C846" i="13"/>
  <c r="D845" i="13"/>
  <c r="D846" i="13" l="1"/>
  <c r="C847" i="13"/>
  <c r="C74" i="13"/>
  <c r="D73" i="13"/>
  <c r="C281" i="13"/>
  <c r="D280" i="13"/>
  <c r="D596" i="13"/>
  <c r="C597" i="13"/>
  <c r="C993" i="13"/>
  <c r="D992" i="13"/>
  <c r="C994" i="13" l="1"/>
  <c r="D993" i="13"/>
  <c r="C598" i="13"/>
  <c r="D597" i="13"/>
  <c r="C282" i="13"/>
  <c r="D281" i="13"/>
  <c r="D74" i="13"/>
  <c r="C75" i="13"/>
  <c r="D847" i="13"/>
  <c r="C848" i="13"/>
  <c r="C849" i="13" l="1"/>
  <c r="D848" i="13"/>
  <c r="D75" i="13"/>
  <c r="C76" i="13"/>
  <c r="C283" i="13"/>
  <c r="D282" i="13"/>
  <c r="C599" i="13"/>
  <c r="D598" i="13"/>
  <c r="D994" i="13"/>
  <c r="C995" i="13"/>
  <c r="D995" i="13" l="1"/>
  <c r="C996" i="13"/>
  <c r="D599" i="13"/>
  <c r="C600" i="13"/>
  <c r="C284" i="13"/>
  <c r="D283" i="13"/>
  <c r="C77" i="13"/>
  <c r="D76" i="13"/>
  <c r="C850" i="13"/>
  <c r="D849" i="13"/>
  <c r="D850" i="13" l="1"/>
  <c r="C851" i="13"/>
  <c r="C78" i="13"/>
  <c r="D77" i="13"/>
  <c r="D284" i="13"/>
  <c r="C285" i="13"/>
  <c r="D600" i="13"/>
  <c r="C601" i="13"/>
  <c r="D996" i="13"/>
  <c r="C997" i="13"/>
  <c r="D601" i="13" l="1"/>
  <c r="C602" i="13"/>
  <c r="D285" i="13"/>
  <c r="C286" i="13"/>
  <c r="C79" i="13"/>
  <c r="D78" i="13"/>
  <c r="D851" i="13"/>
  <c r="C852" i="13"/>
  <c r="D852" i="13" s="1"/>
  <c r="C998" i="13"/>
  <c r="D997" i="13"/>
  <c r="D998" i="13" l="1"/>
  <c r="C999" i="13"/>
  <c r="C287" i="13"/>
  <c r="D286" i="13"/>
  <c r="D602" i="13"/>
  <c r="C603" i="13"/>
  <c r="C80" i="13"/>
  <c r="D79" i="13"/>
  <c r="C1000" i="13" l="1"/>
  <c r="D999" i="13"/>
  <c r="D80" i="13"/>
  <c r="C81" i="13"/>
  <c r="D603" i="13"/>
  <c r="C604" i="13"/>
  <c r="C288" i="13"/>
  <c r="D287" i="13"/>
  <c r="D288" i="13" l="1"/>
  <c r="C289" i="13"/>
  <c r="C82" i="13"/>
  <c r="D81" i="13"/>
  <c r="D604" i="13"/>
  <c r="C605" i="13"/>
  <c r="D1000" i="13"/>
  <c r="C1001" i="13"/>
  <c r="C606" i="13" l="1"/>
  <c r="D605" i="13"/>
  <c r="C1002" i="13"/>
  <c r="D1001" i="13"/>
  <c r="D82" i="13"/>
  <c r="C83" i="13"/>
  <c r="C290" i="13"/>
  <c r="D289" i="13"/>
  <c r="D290" i="13" l="1"/>
  <c r="C291" i="13"/>
  <c r="C84" i="13"/>
  <c r="D83" i="13"/>
  <c r="C1003" i="13"/>
  <c r="D1002" i="13"/>
  <c r="C607" i="13"/>
  <c r="D606" i="13"/>
  <c r="C1004" i="13" l="1"/>
  <c r="D1003" i="13"/>
  <c r="C292" i="13"/>
  <c r="D291" i="13"/>
  <c r="C608" i="13"/>
  <c r="D607" i="13"/>
  <c r="D84" i="13"/>
  <c r="C85" i="13"/>
  <c r="C86" i="13" l="1"/>
  <c r="D85" i="13"/>
  <c r="C609" i="13"/>
  <c r="D608" i="13"/>
  <c r="C293" i="13"/>
  <c r="D292" i="13"/>
  <c r="D1004" i="13"/>
  <c r="C1005" i="13"/>
  <c r="C1006" i="13" l="1"/>
  <c r="D1005" i="13"/>
  <c r="D293" i="13"/>
  <c r="C294" i="13"/>
  <c r="C610" i="13"/>
  <c r="D609" i="13"/>
  <c r="D86" i="13"/>
  <c r="C87" i="13"/>
  <c r="C88" i="13" l="1"/>
  <c r="D87" i="13"/>
  <c r="C611" i="13"/>
  <c r="D610" i="13"/>
  <c r="C295" i="13"/>
  <c r="D294" i="13"/>
  <c r="C1007" i="13"/>
  <c r="D1006" i="13"/>
  <c r="D1007" i="13" l="1"/>
  <c r="C1008" i="13"/>
  <c r="C296" i="13"/>
  <c r="D295" i="13"/>
  <c r="C612" i="13"/>
  <c r="D611" i="13"/>
  <c r="D88" i="13"/>
  <c r="C89" i="13"/>
  <c r="D89" i="13" l="1"/>
  <c r="C90" i="13"/>
  <c r="D612" i="13"/>
  <c r="C613" i="13"/>
  <c r="C297" i="13"/>
  <c r="D296" i="13"/>
  <c r="C1009" i="13"/>
  <c r="D1008" i="13"/>
  <c r="C614" i="13" l="1"/>
  <c r="D613" i="13"/>
  <c r="C1010" i="13"/>
  <c r="D1009" i="13"/>
  <c r="D297" i="13"/>
  <c r="C298" i="13"/>
  <c r="C91" i="13"/>
  <c r="D90" i="13"/>
  <c r="D91" i="13" l="1"/>
  <c r="C92" i="13"/>
  <c r="C299" i="13"/>
  <c r="D298" i="13"/>
  <c r="D1010" i="13"/>
  <c r="C1011" i="13"/>
  <c r="C615" i="13"/>
  <c r="D614" i="13"/>
  <c r="D615" i="13" l="1"/>
  <c r="C616" i="13"/>
  <c r="C93" i="13"/>
  <c r="D92" i="13"/>
  <c r="D1011" i="13"/>
  <c r="C1012" i="13"/>
  <c r="C300" i="13"/>
  <c r="D299" i="13"/>
  <c r="D93" i="13" l="1"/>
  <c r="C94" i="13"/>
  <c r="C301" i="13"/>
  <c r="D300" i="13"/>
  <c r="D1012" i="13"/>
  <c r="C1013" i="13"/>
  <c r="D616" i="13"/>
  <c r="C617" i="13"/>
  <c r="C618" i="13" l="1"/>
  <c r="D617" i="13"/>
  <c r="C1014" i="13"/>
  <c r="D1013" i="13"/>
  <c r="D301" i="13"/>
  <c r="C302" i="13"/>
  <c r="C95" i="13"/>
  <c r="D94" i="13"/>
  <c r="C96" i="13" l="1"/>
  <c r="D95" i="13"/>
  <c r="D302" i="13"/>
  <c r="C303" i="13"/>
  <c r="C1015" i="13"/>
  <c r="D1014" i="13"/>
  <c r="C619" i="13"/>
  <c r="D618" i="13"/>
  <c r="D619" i="13" l="1"/>
  <c r="C620" i="13"/>
  <c r="D1015" i="13"/>
  <c r="C1016" i="13"/>
  <c r="C304" i="13"/>
  <c r="D303" i="13"/>
  <c r="D96" i="13"/>
  <c r="C97" i="13"/>
  <c r="D304" i="13" l="1"/>
  <c r="C305" i="13"/>
  <c r="C98" i="13"/>
  <c r="D97" i="13"/>
  <c r="D1016" i="13"/>
  <c r="C1017" i="13"/>
  <c r="C621" i="13"/>
  <c r="D620" i="13"/>
  <c r="D305" i="13" l="1"/>
  <c r="C306" i="13"/>
  <c r="C622" i="13"/>
  <c r="D621" i="13"/>
  <c r="C1018" i="13"/>
  <c r="D1017" i="13"/>
  <c r="D98" i="13"/>
  <c r="C99" i="13"/>
  <c r="D99" i="13" l="1"/>
  <c r="C100" i="13"/>
  <c r="C307" i="13"/>
  <c r="D306" i="13"/>
  <c r="C1019" i="13"/>
  <c r="D1018" i="13"/>
  <c r="C623" i="13"/>
  <c r="D622" i="13"/>
  <c r="C624" i="13" l="1"/>
  <c r="D623" i="13"/>
  <c r="C1020" i="13"/>
  <c r="D1019" i="13"/>
  <c r="C308" i="13"/>
  <c r="D307" i="13"/>
  <c r="D100" i="13"/>
  <c r="C101" i="13"/>
  <c r="D101" i="13" l="1"/>
  <c r="C102" i="13"/>
  <c r="C309" i="13"/>
  <c r="D308" i="13"/>
  <c r="D1020" i="13"/>
  <c r="C1021" i="13"/>
  <c r="C625" i="13"/>
  <c r="D624" i="13"/>
  <c r="D1021" i="13" l="1"/>
  <c r="C1022" i="13"/>
  <c r="C626" i="13"/>
  <c r="D625" i="13"/>
  <c r="D309" i="13"/>
  <c r="C310" i="13"/>
  <c r="C103" i="13"/>
  <c r="D102" i="13"/>
  <c r="D103" i="13" l="1"/>
  <c r="C104" i="13"/>
  <c r="C311" i="13"/>
  <c r="D310" i="13"/>
  <c r="D626" i="13"/>
  <c r="C627" i="13"/>
  <c r="D1022" i="13"/>
  <c r="C1023" i="13"/>
  <c r="D1023" i="13" s="1"/>
  <c r="D627" i="13" l="1"/>
  <c r="C628" i="13"/>
  <c r="C312" i="13"/>
  <c r="D311" i="13"/>
  <c r="C105" i="13"/>
  <c r="D104" i="13"/>
  <c r="C106" i="13" l="1"/>
  <c r="D105" i="13"/>
  <c r="D312" i="13"/>
  <c r="C313" i="13"/>
  <c r="D628" i="13"/>
  <c r="C629" i="13"/>
  <c r="C630" i="13" l="1"/>
  <c r="D629" i="13"/>
  <c r="D313" i="13"/>
  <c r="C314" i="13"/>
  <c r="D106" i="13"/>
  <c r="C107" i="13"/>
  <c r="D107" i="13" l="1"/>
  <c r="C108" i="13"/>
  <c r="C315" i="13"/>
  <c r="D314" i="13"/>
  <c r="C631" i="13"/>
  <c r="D630" i="13"/>
  <c r="D631" i="13" l="1"/>
  <c r="C632" i="13"/>
  <c r="C316" i="13"/>
  <c r="D315" i="13"/>
  <c r="C109" i="13"/>
  <c r="D108" i="13"/>
  <c r="C110" i="13" l="1"/>
  <c r="D109" i="13"/>
  <c r="D316" i="13"/>
  <c r="C317" i="13"/>
  <c r="D632" i="13"/>
  <c r="C633" i="13"/>
  <c r="C318" i="13" l="1"/>
  <c r="D317" i="13"/>
  <c r="C634" i="13"/>
  <c r="D633" i="13"/>
  <c r="C111" i="13"/>
  <c r="D110" i="13"/>
  <c r="D111" i="13" l="1"/>
  <c r="C112" i="13"/>
  <c r="C635" i="13"/>
  <c r="D634" i="13"/>
  <c r="D318" i="13"/>
  <c r="C319" i="13"/>
  <c r="C636" i="13" l="1"/>
  <c r="D635" i="13"/>
  <c r="D112" i="13"/>
  <c r="C113" i="13"/>
  <c r="D319" i="13"/>
  <c r="C320" i="13"/>
  <c r="C321" i="13" l="1"/>
  <c r="D320" i="13"/>
  <c r="C114" i="13"/>
  <c r="D113" i="13"/>
  <c r="C637" i="13"/>
  <c r="D636" i="13"/>
  <c r="C115" i="13" l="1"/>
  <c r="D114" i="13"/>
  <c r="C638" i="13"/>
  <c r="D637" i="13"/>
  <c r="D321" i="13"/>
  <c r="C322" i="13"/>
  <c r="D322" i="13" l="1"/>
  <c r="C323" i="13"/>
  <c r="C639" i="13"/>
  <c r="D638" i="13"/>
  <c r="D115" i="13"/>
  <c r="C116" i="13"/>
  <c r="D116" i="13" l="1"/>
  <c r="C117" i="13"/>
  <c r="C640" i="13"/>
  <c r="D639" i="13"/>
  <c r="C324" i="13"/>
  <c r="D323" i="13"/>
  <c r="C641" i="13" l="1"/>
  <c r="D640" i="13"/>
  <c r="C325" i="13"/>
  <c r="D324" i="13"/>
  <c r="C118" i="13"/>
  <c r="D117" i="13"/>
  <c r="C326" i="13" l="1"/>
  <c r="D325" i="13"/>
  <c r="C119" i="13"/>
  <c r="D118" i="13"/>
  <c r="C642" i="13"/>
  <c r="D641" i="13"/>
  <c r="C120" i="13" l="1"/>
  <c r="D119" i="13"/>
  <c r="C643" i="13"/>
  <c r="D642" i="13"/>
  <c r="C327" i="13"/>
  <c r="D326" i="13"/>
  <c r="C644" i="13" l="1"/>
  <c r="D643" i="13"/>
  <c r="C328" i="13"/>
  <c r="D327" i="13"/>
  <c r="C121" i="13"/>
  <c r="D120" i="13"/>
  <c r="D328" i="13" l="1"/>
  <c r="C329" i="13"/>
  <c r="D121" i="13"/>
  <c r="C122" i="13"/>
  <c r="D644" i="13"/>
  <c r="C645" i="13"/>
  <c r="D122" i="13" l="1"/>
  <c r="C123" i="13"/>
  <c r="C646" i="13"/>
  <c r="D645" i="13"/>
  <c r="C330" i="13"/>
  <c r="D329" i="13"/>
  <c r="C647" i="13" l="1"/>
  <c r="D646" i="13"/>
  <c r="D123" i="13"/>
  <c r="C124" i="13"/>
  <c r="D330" i="13"/>
  <c r="C331" i="13"/>
  <c r="D331" i="13" l="1"/>
  <c r="C332" i="13"/>
  <c r="C125" i="13"/>
  <c r="D124" i="13"/>
  <c r="D647" i="13"/>
  <c r="C648" i="13"/>
  <c r="D125" i="13" l="1"/>
  <c r="C126" i="13"/>
  <c r="D332" i="13"/>
  <c r="C333" i="13"/>
  <c r="D648" i="13"/>
  <c r="C649" i="13"/>
  <c r="D126" i="13" l="1"/>
  <c r="C127" i="13"/>
  <c r="D649" i="13"/>
  <c r="C650" i="13"/>
  <c r="C334" i="13"/>
  <c r="D333" i="13"/>
  <c r="C128" i="13" l="1"/>
  <c r="D127" i="13"/>
  <c r="C335" i="13"/>
  <c r="D334" i="13"/>
  <c r="D650" i="13"/>
  <c r="C651" i="13"/>
  <c r="D651" i="13" l="1"/>
  <c r="C652" i="13"/>
  <c r="C336" i="13"/>
  <c r="D335" i="13"/>
  <c r="C129" i="13"/>
  <c r="D128" i="13"/>
  <c r="C130" i="13" l="1"/>
  <c r="D129" i="13"/>
  <c r="C653" i="13"/>
  <c r="D652" i="13"/>
  <c r="D336" i="13"/>
  <c r="C337" i="13"/>
  <c r="C338" i="13" l="1"/>
  <c r="D337" i="13"/>
  <c r="C654" i="13"/>
  <c r="D653" i="13"/>
  <c r="D130" i="13"/>
  <c r="C131" i="13"/>
  <c r="C132" i="13" l="1"/>
  <c r="D131" i="13"/>
  <c r="C655" i="13"/>
  <c r="D654" i="13"/>
  <c r="C339" i="13"/>
  <c r="D338" i="13"/>
  <c r="C340" i="13" l="1"/>
  <c r="D339" i="13"/>
  <c r="C656" i="13"/>
  <c r="D656" i="13" s="1"/>
  <c r="D655" i="13"/>
  <c r="D132" i="13"/>
  <c r="C133" i="13"/>
  <c r="C134" i="13" l="1"/>
  <c r="D133" i="13"/>
  <c r="C341" i="13"/>
  <c r="D340" i="13"/>
  <c r="C342" i="13" l="1"/>
  <c r="D341" i="13"/>
  <c r="C135" i="13"/>
  <c r="D134" i="13"/>
  <c r="D135" i="13" l="1"/>
  <c r="C136" i="13"/>
  <c r="D342" i="13"/>
  <c r="C343" i="13"/>
  <c r="C344" i="13" l="1"/>
  <c r="D344" i="13" s="1"/>
  <c r="D343" i="13"/>
  <c r="C137" i="13"/>
  <c r="D136" i="13"/>
  <c r="D137" i="13" l="1"/>
  <c r="C138" i="13"/>
  <c r="C139" i="13" l="1"/>
  <c r="D139" i="13" s="1"/>
  <c r="D138" i="13"/>
  <c r="B6" i="7" l="1"/>
  <c r="B5" i="8"/>
  <c r="B7" i="7"/>
  <c r="D6" i="7"/>
  <c r="U19" i="7" l="1"/>
  <c r="X19" i="7" s="1"/>
  <c r="E40" i="1"/>
  <c r="U7" i="8"/>
  <c r="U9" i="7"/>
  <c r="N28" i="7"/>
  <c r="V19" i="7" l="1"/>
  <c r="W19" i="7" s="1"/>
  <c r="U11" i="7"/>
  <c r="V11" i="7" s="1"/>
  <c r="U23" i="7"/>
  <c r="V23" i="7" s="1"/>
  <c r="U21" i="7"/>
  <c r="V21" i="7" s="1"/>
  <c r="U12" i="7"/>
  <c r="V12" i="7" s="1"/>
  <c r="U14" i="7"/>
  <c r="V14" i="7" s="1"/>
  <c r="U22" i="7"/>
  <c r="V22" i="7" s="1"/>
  <c r="U20" i="7"/>
  <c r="V20" i="7" s="1"/>
  <c r="U13" i="7"/>
  <c r="V13" i="7" s="1"/>
  <c r="U25" i="7"/>
  <c r="V25" i="7" s="1"/>
  <c r="U24" i="7"/>
  <c r="V24" i="7" s="1"/>
  <c r="X9" i="7"/>
  <c r="U15" i="7"/>
  <c r="V15" i="7" s="1"/>
  <c r="U10" i="7"/>
  <c r="V10" i="7" s="1"/>
  <c r="V9" i="7"/>
  <c r="W9" i="7" s="1"/>
  <c r="U12" i="8"/>
  <c r="V12" i="8" s="1"/>
  <c r="U33" i="8"/>
  <c r="V33" i="8" s="1"/>
  <c r="V27" i="8"/>
  <c r="W27" i="8" s="1"/>
  <c r="U19" i="8"/>
  <c r="V19" i="8" s="1"/>
  <c r="U32" i="8"/>
  <c r="V32" i="8" s="1"/>
  <c r="U23" i="8"/>
  <c r="V23" i="8" s="1"/>
  <c r="V17" i="8"/>
  <c r="W17" i="8" s="1"/>
  <c r="U13" i="8"/>
  <c r="V13" i="8" s="1"/>
  <c r="X7" i="8"/>
  <c r="U21" i="8"/>
  <c r="V21" i="8" s="1"/>
  <c r="U29" i="8"/>
  <c r="V29" i="8" s="1"/>
  <c r="U9" i="8"/>
  <c r="V9" i="8" s="1"/>
  <c r="U22" i="8"/>
  <c r="V22" i="8" s="1"/>
  <c r="U18" i="8"/>
  <c r="V18" i="8" s="1"/>
  <c r="U10" i="8"/>
  <c r="V10" i="8" s="1"/>
  <c r="U31" i="8"/>
  <c r="V31" i="8" s="1"/>
  <c r="U20" i="8"/>
  <c r="V20" i="8" s="1"/>
  <c r="U28" i="8"/>
  <c r="V28" i="8" s="1"/>
  <c r="U8" i="8"/>
  <c r="V8" i="8" s="1"/>
  <c r="U30" i="8"/>
  <c r="V30" i="8" s="1"/>
  <c r="U11" i="8"/>
  <c r="V11" i="8" s="1"/>
  <c r="V7" i="8"/>
  <c r="W7" i="8" s="1"/>
  <c r="W23" i="7" l="1"/>
  <c r="W21" i="7"/>
  <c r="W12" i="7"/>
  <c r="X12" i="7" s="1"/>
  <c r="W14" i="7"/>
  <c r="X14" i="7" s="1"/>
  <c r="W24" i="7"/>
  <c r="X24" i="7" s="1"/>
  <c r="W22" i="7"/>
  <c r="X22" i="7" s="1"/>
  <c r="W10" i="7"/>
  <c r="W15" i="7"/>
  <c r="X15" i="7" s="1"/>
  <c r="W11" i="7"/>
  <c r="X11" i="7" s="1"/>
  <c r="W20" i="7"/>
  <c r="X20" i="7" s="1"/>
  <c r="W25" i="7"/>
  <c r="X25" i="7" s="1"/>
  <c r="W13" i="7"/>
  <c r="X13" i="7" s="1"/>
  <c r="B8" i="7" s="1"/>
  <c r="B13" i="7" s="1"/>
  <c r="X10" i="7"/>
  <c r="X21" i="7"/>
  <c r="X23" i="7"/>
  <c r="B9" i="7" s="1"/>
  <c r="X10" i="8"/>
  <c r="X18" i="8"/>
  <c r="X9" i="8"/>
  <c r="X29" i="8"/>
  <c r="X21" i="8"/>
  <c r="W13" i="8"/>
  <c r="X13" i="8" s="1"/>
  <c r="W9" i="8"/>
  <c r="W23" i="8"/>
  <c r="X23" i="8" s="1"/>
  <c r="W21" i="8"/>
  <c r="W33" i="8"/>
  <c r="X33" i="8" s="1"/>
  <c r="W29" i="8"/>
  <c r="W18" i="8"/>
  <c r="W10" i="8"/>
  <c r="W31" i="8"/>
  <c r="X31" i="8" s="1"/>
  <c r="F7" i="8" s="1"/>
  <c r="W8" i="8"/>
  <c r="X8" i="8" s="1"/>
  <c r="W11" i="8"/>
  <c r="X11" i="8" s="1"/>
  <c r="W22" i="8"/>
  <c r="X22" i="8" s="1"/>
  <c r="W30" i="8"/>
  <c r="X30" i="8" s="1"/>
  <c r="W20" i="8"/>
  <c r="X20" i="8" s="1"/>
  <c r="W12" i="8"/>
  <c r="X12" i="8" s="1"/>
  <c r="W28" i="8"/>
  <c r="X28" i="8" s="1"/>
  <c r="W19" i="8"/>
  <c r="X19" i="8" s="1"/>
  <c r="W32" i="8"/>
  <c r="X32" i="8"/>
  <c r="F6" i="8" l="1"/>
  <c r="I6" i="8" s="1"/>
  <c r="F5" i="8"/>
  <c r="E10" i="7"/>
  <c r="E9" i="7"/>
  <c r="E8" i="7"/>
  <c r="H48" i="8" l="1"/>
  <c r="I5" i="8"/>
  <c r="C14" i="7"/>
  <c r="J52" i="7"/>
  <c r="H48" i="7"/>
  <c r="J51" i="7"/>
  <c r="H52" i="7"/>
  <c r="J50" i="7"/>
  <c r="H53" i="7"/>
  <c r="C13" i="7"/>
  <c r="D13" i="7" s="1"/>
  <c r="A14" i="7"/>
  <c r="H51" i="7"/>
  <c r="J53" i="7"/>
  <c r="J47" i="7"/>
  <c r="J48" i="7"/>
  <c r="H47" i="7"/>
  <c r="H50" i="7"/>
  <c r="B11" i="8"/>
  <c r="H45" i="8"/>
  <c r="K51" i="7" l="1"/>
  <c r="L51" i="7" s="1"/>
  <c r="I51" i="7"/>
  <c r="K53" i="7"/>
  <c r="L53" i="7" s="1"/>
  <c r="I53" i="7"/>
  <c r="I45" i="8"/>
  <c r="K48" i="7"/>
  <c r="L48" i="7" s="1"/>
  <c r="I48" i="7"/>
  <c r="B14" i="7"/>
  <c r="D14" i="7" s="1"/>
  <c r="A15" i="7"/>
  <c r="K52" i="7"/>
  <c r="L52" i="7" s="1"/>
  <c r="I52" i="7"/>
  <c r="D11" i="8"/>
  <c r="K30" i="3"/>
  <c r="K31" i="3" s="1"/>
  <c r="K47" i="7"/>
  <c r="L47" i="7" s="1"/>
  <c r="I47" i="7"/>
  <c r="K50" i="7"/>
  <c r="L50" i="7" s="1"/>
  <c r="I50" i="7"/>
  <c r="H46" i="8"/>
  <c r="H50" i="8"/>
  <c r="J48" i="8"/>
  <c r="K48" i="8" s="1"/>
  <c r="L48" i="8" s="1"/>
  <c r="J51" i="8"/>
  <c r="H51" i="8"/>
  <c r="J49" i="8"/>
  <c r="J50" i="8"/>
  <c r="C11" i="8"/>
  <c r="A12" i="8"/>
  <c r="J46" i="8"/>
  <c r="H49" i="8"/>
  <c r="J45" i="8"/>
  <c r="K45" i="8" s="1"/>
  <c r="L45" i="8" s="1"/>
  <c r="I48" i="8"/>
  <c r="K49" i="8" l="1"/>
  <c r="L49" i="8" s="1"/>
  <c r="I49" i="8"/>
  <c r="I50" i="8"/>
  <c r="K50" i="8"/>
  <c r="L50" i="8" s="1"/>
  <c r="K46" i="8"/>
  <c r="L46" i="8" s="1"/>
  <c r="I46" i="8"/>
  <c r="K51" i="8"/>
  <c r="L51" i="8" s="1"/>
  <c r="I51" i="8"/>
  <c r="A13" i="8"/>
  <c r="B12" i="8"/>
  <c r="A16" i="7"/>
  <c r="B15" i="7"/>
  <c r="C15" i="7"/>
  <c r="C12" i="8"/>
  <c r="D15" i="7" l="1"/>
  <c r="D12" i="8"/>
  <c r="B16" i="7"/>
  <c r="A17" i="7"/>
  <c r="C16" i="7"/>
  <c r="B13" i="8"/>
  <c r="A14" i="8"/>
  <c r="C13" i="8"/>
  <c r="A15" i="8" l="1"/>
  <c r="B14" i="8"/>
  <c r="C14" i="8"/>
  <c r="A18" i="7"/>
  <c r="B17" i="7"/>
  <c r="D17" i="7" s="1"/>
  <c r="C17" i="7"/>
  <c r="D13" i="8"/>
  <c r="D16" i="7"/>
  <c r="A19" i="7" l="1"/>
  <c r="B18" i="7"/>
  <c r="D18" i="7" s="1"/>
  <c r="C18" i="7"/>
  <c r="D14" i="8"/>
  <c r="A16" i="8"/>
  <c r="B15" i="8"/>
  <c r="D15" i="8" s="1"/>
  <c r="C15" i="8"/>
  <c r="B16" i="8" l="1"/>
  <c r="A17" i="8"/>
  <c r="C16" i="8"/>
  <c r="B19" i="7"/>
  <c r="A20" i="7"/>
  <c r="C19" i="7"/>
  <c r="B20" i="7" l="1"/>
  <c r="A21" i="7"/>
  <c r="C20" i="7"/>
  <c r="A18" i="8"/>
  <c r="B17" i="8"/>
  <c r="C17" i="8"/>
  <c r="D19" i="7"/>
  <c r="D16" i="8"/>
  <c r="D17" i="8" l="1"/>
  <c r="B21" i="7"/>
  <c r="A22" i="7"/>
  <c r="C21" i="7"/>
  <c r="A19" i="8"/>
  <c r="B18" i="8"/>
  <c r="D18" i="8" s="1"/>
  <c r="C18" i="8"/>
  <c r="D20" i="7"/>
  <c r="B19" i="8" l="1"/>
  <c r="A20" i="8"/>
  <c r="C19" i="8"/>
  <c r="D21" i="7"/>
  <c r="B22" i="7"/>
  <c r="D22" i="7" s="1"/>
  <c r="A23" i="7"/>
  <c r="C22" i="7"/>
  <c r="A21" i="8" l="1"/>
  <c r="B20" i="8"/>
  <c r="C20" i="8"/>
  <c r="B23" i="7"/>
  <c r="D23" i="7" s="1"/>
  <c r="A24" i="7"/>
  <c r="C23" i="7"/>
  <c r="D19" i="8"/>
  <c r="A25" i="7" l="1"/>
  <c r="B24" i="7"/>
  <c r="C24" i="7"/>
  <c r="D20" i="8"/>
  <c r="B21" i="8"/>
  <c r="A22" i="8"/>
  <c r="C21" i="8"/>
  <c r="A23" i="8" l="1"/>
  <c r="B22" i="8"/>
  <c r="D22" i="8" s="1"/>
  <c r="C22" i="8"/>
  <c r="D21" i="8"/>
  <c r="D24" i="7"/>
  <c r="B25" i="7"/>
  <c r="A26" i="7"/>
  <c r="C25" i="7"/>
  <c r="A27" i="7" l="1"/>
  <c r="B26" i="7"/>
  <c r="D26" i="7" s="1"/>
  <c r="C26" i="7"/>
  <c r="D25" i="7"/>
  <c r="B23" i="8"/>
  <c r="D23" i="8" s="1"/>
  <c r="A24" i="8"/>
  <c r="C23" i="8"/>
  <c r="A25" i="8" l="1"/>
  <c r="B24" i="8"/>
  <c r="C24" i="8"/>
  <c r="B27" i="7"/>
  <c r="D27" i="7" s="1"/>
  <c r="A28" i="7"/>
  <c r="C27" i="7"/>
  <c r="A29" i="7" l="1"/>
  <c r="B28" i="7"/>
  <c r="D28" i="7" s="1"/>
  <c r="C28" i="7"/>
  <c r="D24" i="8"/>
  <c r="B25" i="8"/>
  <c r="A26" i="8"/>
  <c r="C25" i="8"/>
  <c r="A27" i="8" l="1"/>
  <c r="B26" i="8"/>
  <c r="C26" i="8"/>
  <c r="D25" i="8"/>
  <c r="A30" i="7"/>
  <c r="B29" i="7"/>
  <c r="C29" i="7"/>
  <c r="D29" i="7" l="1"/>
  <c r="A31" i="7"/>
  <c r="B30" i="7"/>
  <c r="D30" i="7" s="1"/>
  <c r="C30" i="7"/>
  <c r="D26" i="8"/>
  <c r="B27" i="8"/>
  <c r="A28" i="8"/>
  <c r="C27" i="8"/>
  <c r="D27" i="8" l="1"/>
  <c r="B28" i="8"/>
  <c r="D28" i="8" s="1"/>
  <c r="A29" i="8"/>
  <c r="C28" i="8"/>
  <c r="B31" i="7"/>
  <c r="D31" i="7" s="1"/>
  <c r="A32" i="7"/>
  <c r="C31" i="7"/>
  <c r="A33" i="7" l="1"/>
  <c r="B32" i="7"/>
  <c r="C32" i="7"/>
  <c r="A30" i="8"/>
  <c r="B29" i="8"/>
  <c r="C29" i="8"/>
  <c r="D29" i="8" l="1"/>
  <c r="B30" i="8"/>
  <c r="D30" i="8" s="1"/>
  <c r="A31" i="8"/>
  <c r="C30" i="8"/>
  <c r="D32" i="7"/>
  <c r="A34" i="7"/>
  <c r="B33" i="7"/>
  <c r="D33" i="7" s="1"/>
  <c r="C33" i="7"/>
  <c r="B34" i="7" l="1"/>
  <c r="A35" i="7"/>
  <c r="C34" i="7"/>
  <c r="A32" i="8"/>
  <c r="B31" i="8"/>
  <c r="D31" i="8" s="1"/>
  <c r="C31" i="8"/>
  <c r="B35" i="7" l="1"/>
  <c r="A36" i="7"/>
  <c r="C35" i="7"/>
  <c r="B32" i="8"/>
  <c r="D32" i="8" s="1"/>
  <c r="A33" i="8"/>
  <c r="C32" i="8"/>
  <c r="D34" i="7"/>
  <c r="A34" i="8" l="1"/>
  <c r="B33" i="8"/>
  <c r="C33" i="8"/>
  <c r="A37" i="7"/>
  <c r="B36" i="7"/>
  <c r="D36" i="7" s="1"/>
  <c r="C36" i="7"/>
  <c r="D35" i="7"/>
  <c r="A38" i="7" l="1"/>
  <c r="B37" i="7"/>
  <c r="D37" i="7" s="1"/>
  <c r="C37" i="7"/>
  <c r="D33" i="8"/>
  <c r="B34" i="8"/>
  <c r="D34" i="8" s="1"/>
  <c r="A35" i="8"/>
  <c r="C34" i="8"/>
  <c r="A36" i="8" l="1"/>
  <c r="B35" i="8"/>
  <c r="C35" i="8"/>
  <c r="A39" i="7"/>
  <c r="B38" i="7"/>
  <c r="D38" i="7" s="1"/>
  <c r="C38" i="7"/>
  <c r="D35" i="8" l="1"/>
  <c r="B39" i="7"/>
  <c r="A40" i="7"/>
  <c r="C39" i="7"/>
  <c r="B36" i="8"/>
  <c r="D36" i="8" s="1"/>
  <c r="A37" i="8"/>
  <c r="C36" i="8"/>
  <c r="A41" i="7" l="1"/>
  <c r="B40" i="7"/>
  <c r="C40" i="7"/>
  <c r="A38" i="8"/>
  <c r="B37" i="8"/>
  <c r="C37" i="8"/>
  <c r="D39" i="7"/>
  <c r="D37" i="8" l="1"/>
  <c r="A39" i="8"/>
  <c r="B38" i="8"/>
  <c r="C38" i="8"/>
  <c r="D40" i="7"/>
  <c r="A42" i="7"/>
  <c r="B41" i="7"/>
  <c r="D41" i="7" s="1"/>
  <c r="C41" i="7"/>
  <c r="A43" i="7" l="1"/>
  <c r="B42" i="7"/>
  <c r="C42" i="7"/>
  <c r="D38" i="8"/>
  <c r="A40" i="8"/>
  <c r="B39" i="8"/>
  <c r="D39" i="8" s="1"/>
  <c r="C39" i="8"/>
  <c r="A41" i="8" l="1"/>
  <c r="B40" i="8"/>
  <c r="C40" i="8"/>
  <c r="D42" i="7"/>
  <c r="B43" i="7"/>
  <c r="A44" i="7"/>
  <c r="C43" i="7"/>
  <c r="D43" i="7" l="1"/>
  <c r="D40" i="8"/>
  <c r="A45" i="7"/>
  <c r="B44" i="7"/>
  <c r="C44" i="7"/>
  <c r="A42" i="8"/>
  <c r="B41" i="8"/>
  <c r="C41" i="8"/>
  <c r="D41" i="8" l="1"/>
  <c r="A43" i="8"/>
  <c r="B42" i="8"/>
  <c r="C42" i="8"/>
  <c r="D44" i="7"/>
  <c r="A46" i="7"/>
  <c r="B45" i="7"/>
  <c r="D45" i="7" s="1"/>
  <c r="C45" i="7"/>
  <c r="A47" i="7" l="1"/>
  <c r="B46" i="7"/>
  <c r="C46" i="7"/>
  <c r="D42" i="8"/>
  <c r="A44" i="8"/>
  <c r="B43" i="8"/>
  <c r="D43" i="8" s="1"/>
  <c r="C43" i="8"/>
  <c r="A45" i="8" l="1"/>
  <c r="B44" i="8"/>
  <c r="C44" i="8"/>
  <c r="D46" i="7"/>
  <c r="B47" i="7"/>
  <c r="D47" i="7" s="1"/>
  <c r="A48" i="7"/>
  <c r="C47" i="7"/>
  <c r="B48" i="7" l="1"/>
  <c r="A49" i="7"/>
  <c r="C48" i="7"/>
  <c r="D44" i="8"/>
  <c r="A46" i="8"/>
  <c r="B45" i="8"/>
  <c r="D45" i="8" s="1"/>
  <c r="C45" i="8"/>
  <c r="A50" i="7" l="1"/>
  <c r="B49" i="7"/>
  <c r="C49" i="7"/>
  <c r="A47" i="8"/>
  <c r="B46" i="8"/>
  <c r="D46" i="8" s="1"/>
  <c r="C46" i="8"/>
  <c r="D48" i="7"/>
  <c r="A48" i="8" l="1"/>
  <c r="B47" i="8"/>
  <c r="C47" i="8"/>
  <c r="D49" i="7"/>
  <c r="A51" i="7"/>
  <c r="B50" i="7"/>
  <c r="D50" i="7" s="1"/>
  <c r="C50" i="7"/>
  <c r="B51" i="7" l="1"/>
  <c r="A52" i="7"/>
  <c r="C51" i="7"/>
  <c r="D47" i="8"/>
  <c r="A49" i="8"/>
  <c r="B48" i="8"/>
  <c r="D48" i="8" s="1"/>
  <c r="C48" i="8"/>
  <c r="A50" i="8" l="1"/>
  <c r="B49" i="8"/>
  <c r="D49" i="8" s="1"/>
  <c r="C49" i="8"/>
  <c r="B52" i="7"/>
  <c r="A53" i="7"/>
  <c r="C52" i="7"/>
  <c r="D51" i="7"/>
  <c r="A54" i="7" l="1"/>
  <c r="B53" i="7"/>
  <c r="C53" i="7"/>
  <c r="D52" i="7"/>
  <c r="B50" i="8"/>
  <c r="A51" i="8"/>
  <c r="C50" i="8"/>
  <c r="A52" i="8" l="1"/>
  <c r="B51" i="8"/>
  <c r="C51" i="8"/>
  <c r="D50" i="8"/>
  <c r="D53" i="7"/>
  <c r="A55" i="7"/>
  <c r="B54" i="7"/>
  <c r="D54" i="7" s="1"/>
  <c r="C54" i="7"/>
  <c r="B55" i="7" l="1"/>
  <c r="A56" i="7"/>
  <c r="C55" i="7"/>
  <c r="D51" i="8"/>
  <c r="B52" i="8"/>
  <c r="A53" i="8"/>
  <c r="C52" i="8"/>
  <c r="A54" i="8" l="1"/>
  <c r="B53" i="8"/>
  <c r="C53" i="8"/>
  <c r="A57" i="7"/>
  <c r="B56" i="7"/>
  <c r="C56" i="7"/>
  <c r="D52" i="8"/>
  <c r="D55" i="7"/>
  <c r="D56" i="7" l="1"/>
  <c r="A58" i="7"/>
  <c r="B57" i="7"/>
  <c r="C57" i="7"/>
  <c r="D53" i="8"/>
  <c r="A55" i="8"/>
  <c r="B54" i="8"/>
  <c r="D54" i="8" s="1"/>
  <c r="C54" i="8"/>
  <c r="B58" i="7" l="1"/>
  <c r="A59" i="7"/>
  <c r="C58" i="7"/>
  <c r="A56" i="8"/>
  <c r="B55" i="8"/>
  <c r="C55" i="8"/>
  <c r="D57" i="7"/>
  <c r="A57" i="8" l="1"/>
  <c r="B56" i="8"/>
  <c r="C56" i="8"/>
  <c r="D55" i="8"/>
  <c r="B59" i="7"/>
  <c r="D59" i="7" s="1"/>
  <c r="A60" i="7"/>
  <c r="C59" i="7"/>
  <c r="D58" i="7"/>
  <c r="A61" i="7" l="1"/>
  <c r="B60" i="7"/>
  <c r="C60" i="7"/>
  <c r="D56" i="8"/>
  <c r="A58" i="8"/>
  <c r="B57" i="8"/>
  <c r="D57" i="8" s="1"/>
  <c r="C57" i="8"/>
  <c r="A59" i="8" l="1"/>
  <c r="B58" i="8"/>
  <c r="C58" i="8"/>
  <c r="D60" i="7"/>
  <c r="A62" i="7"/>
  <c r="B61" i="7"/>
  <c r="D61" i="7" s="1"/>
  <c r="C61" i="7"/>
  <c r="A63" i="7" l="1"/>
  <c r="B62" i="7"/>
  <c r="C62" i="7"/>
  <c r="D58" i="8"/>
  <c r="A60" i="8"/>
  <c r="B59" i="8"/>
  <c r="D59" i="8" s="1"/>
  <c r="C59" i="8"/>
  <c r="A61" i="8" l="1"/>
  <c r="B60" i="8"/>
  <c r="C60" i="8"/>
  <c r="D62" i="7"/>
  <c r="B63" i="7"/>
  <c r="A64" i="7"/>
  <c r="C63" i="7"/>
  <c r="A65" i="7" l="1"/>
  <c r="B64" i="7"/>
  <c r="C64" i="7"/>
  <c r="D63" i="7"/>
  <c r="D60" i="8"/>
  <c r="B61" i="8"/>
  <c r="D61" i="8" s="1"/>
  <c r="A62" i="8"/>
  <c r="C61" i="8"/>
  <c r="A63" i="8" l="1"/>
  <c r="B62" i="8"/>
  <c r="C62" i="8"/>
  <c r="D64" i="7"/>
  <c r="B65" i="7"/>
  <c r="D65" i="7" s="1"/>
  <c r="C65" i="7"/>
  <c r="D62" i="8" l="1"/>
  <c r="B63" i="8"/>
  <c r="C63" i="8"/>
  <c r="D63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</author>
  </authors>
  <commentList>
    <comment ref="E78" authorId="0" shapeId="0" xr:uid="{DA338320-8C4B-4373-9D66-E03E148272DD}">
      <text>
        <r>
          <rPr>
            <b/>
            <sz val="9"/>
            <color indexed="81"/>
            <rFont val="Tahoma"/>
            <family val="2"/>
          </rPr>
          <t>CELDA DE CONTROL</t>
        </r>
      </text>
    </comment>
  </commentList>
</comments>
</file>

<file path=xl/sharedStrings.xml><?xml version="1.0" encoding="utf-8"?>
<sst xmlns="http://schemas.openxmlformats.org/spreadsheetml/2006/main" count="2890" uniqueCount="1379">
  <si>
    <t>INFORMACIÓN GENERAL DEL PROYECTO</t>
  </si>
  <si>
    <t>COD:</t>
  </si>
  <si>
    <t>ARM-ESPEC_RESP-2026</t>
  </si>
  <si>
    <t>NOMBRE:</t>
  </si>
  <si>
    <t>VIVIENDA UNIFAMILIAR, BRR. NUEVA CECILIA</t>
  </si>
  <si>
    <t>DEPARTAMENTO:</t>
  </si>
  <si>
    <t>Quindío</t>
  </si>
  <si>
    <t>MUNICIPIO:</t>
  </si>
  <si>
    <t>Armenia</t>
  </si>
  <si>
    <t>DIRECCIÓN:</t>
  </si>
  <si>
    <t>Torres Horeb</t>
  </si>
  <si>
    <t>ALTITUD:</t>
  </si>
  <si>
    <t>ARCHIVO:</t>
  </si>
  <si>
    <t>GEOMETRÍA DE LA EDIFICACIÓN</t>
  </si>
  <si>
    <t>Altura total:</t>
  </si>
  <si>
    <t>Ancho de cubierta:</t>
  </si>
  <si>
    <t>Largo de cubierta:</t>
  </si>
  <si>
    <t>Número de pisos:</t>
  </si>
  <si>
    <t>Altura de cubierta:</t>
  </si>
  <si>
    <t>Pendiente de cub:</t>
  </si>
  <si>
    <t>°</t>
  </si>
  <si>
    <t>Altura desde la base hasta el nivel inferior de cubierta:</t>
  </si>
  <si>
    <t>Grupo de uso</t>
  </si>
  <si>
    <t>Coeficiente de importancia, I</t>
  </si>
  <si>
    <t>TIPOLOGÍA ESTRUCTURAL</t>
  </si>
  <si>
    <t>IV</t>
  </si>
  <si>
    <t>Edificaciones indispensables</t>
  </si>
  <si>
    <t>III</t>
  </si>
  <si>
    <t>Edificaciones de atención a la comunidad</t>
  </si>
  <si>
    <t>Grupo de uso de la edificación:</t>
  </si>
  <si>
    <t>I</t>
  </si>
  <si>
    <t>II</t>
  </si>
  <si>
    <t>Estructuras de ocupación especial</t>
  </si>
  <si>
    <t>Estructuras de ocupación normal</t>
  </si>
  <si>
    <t>Capacidad de Disipación de Energía:</t>
  </si>
  <si>
    <t xml:space="preserve">Especial </t>
  </si>
  <si>
    <t>Peso kg/m2</t>
  </si>
  <si>
    <t>Sistema Resistencia Sísmica</t>
  </si>
  <si>
    <t>Porticos  resistentes a momentos de concreto reforzado</t>
  </si>
  <si>
    <t>Liviana</t>
  </si>
  <si>
    <t>Intermedia</t>
  </si>
  <si>
    <t>Tipo de estructura metálica:</t>
  </si>
  <si>
    <t>kg/m2</t>
  </si>
  <si>
    <t>Pesada</t>
  </si>
  <si>
    <t>AMENAZA SÍSMICA  - COEFICIENTES DE SITIO</t>
  </si>
  <si>
    <r>
      <t>ACELERACIÓN PICO EFECTIVA (A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</t>
    </r>
  </si>
  <si>
    <r>
      <t>A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</si>
  <si>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r>
      <t>VELOCIDAD PICO EFECTIVA (A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)</t>
    </r>
  </si>
  <si>
    <r>
      <t>A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=</t>
    </r>
  </si>
  <si>
    <t>Coeficiente de Amplificación Fa para periodos cortos</t>
  </si>
  <si>
    <r>
      <t>F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</si>
  <si>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t>Coeficiente de amplificacíon Fv para periodos intermedios</t>
  </si>
  <si>
    <r>
      <t>F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=</t>
    </r>
  </si>
  <si>
    <t>Coeficientes usados para el cálculo del periodo de la estructura:</t>
  </si>
  <si>
    <t>Ct =</t>
  </si>
  <si>
    <r>
      <rPr>
        <sz val="11"/>
        <color theme="1"/>
        <rFont val="Times New Roman"/>
        <family val="1"/>
      </rPr>
      <t>α</t>
    </r>
    <r>
      <rPr>
        <sz val="11"/>
        <color theme="1"/>
        <rFont val="Calibri"/>
        <family val="2"/>
        <scheme val="minor"/>
      </rPr>
      <t xml:space="preserve"> =</t>
    </r>
  </si>
  <si>
    <t>AMENAZA EÓLICA</t>
  </si>
  <si>
    <t>B.6.5.4 VELOCIDAD DE VIENTO BÁSICA</t>
  </si>
  <si>
    <t>B.6.5.6.2 — Categorías de Rugosidad de Terreno</t>
  </si>
  <si>
    <t>Región de amenaza eólica :</t>
  </si>
  <si>
    <t>B</t>
  </si>
  <si>
    <t>Rugosidad de Terreno B — Áreas urbanas y suburbanas, áreas boscosas u otros terrenos con numerosas obstrucciones del tamaño, iguales o mayores al de una vivienda unifamiliar y con poca separación entre ellas.</t>
  </si>
  <si>
    <t>Velocidad de viento básica :</t>
  </si>
  <si>
    <t>C</t>
  </si>
  <si>
    <t>Rugosidad de Terreno C — Terreno abierto con pocas obstrucciones y con alturas inferiores a 9.0 m. Esta categoría incluye campos planos abiertos, praderas y todas las superficies acuáticas en zonas propensas a huracanes.</t>
  </si>
  <si>
    <t>D</t>
  </si>
  <si>
    <t>Rugosidad de Terreno D — Áreas planas y no obstruidas y superficies acuáticas por fuera de regiones propensas a huracanes. Esta categoría incluye pantanos, salinas y superficies de hielo.</t>
  </si>
  <si>
    <t>B.6.5.6 EXPOSICIÓN</t>
  </si>
  <si>
    <t>Rugosidad de Terreno:</t>
  </si>
  <si>
    <t>B.6.5.6.3 — Categorías de Exposición</t>
  </si>
  <si>
    <t>Exposición B — La categoría de exposición B aplica cuando la rugosidad del terreno, como se define en Rugosidad de Terreno B, prevalece por una distancia de al menos 800 m o 20 veces la altura del edificio, la que sea mayor, en la dirección al viento.</t>
  </si>
  <si>
    <t>Exposición:</t>
  </si>
  <si>
    <t>Exposición C — La categoría de exposición C aplicará para todos los casos donde no apliquen las categorías B y D.</t>
  </si>
  <si>
    <t>Exposición D — La categoría de exposición D aplica cuando la rugosidad del terreno, como se define en Rugosidad de Terreno D, prevalece por una distancia mayor a 1500 m o 20 veces la altura del edificio, la que sea mayor, en la dirección de barlovento. La categoría de exposición D se extenderá hacia las áreas viento abajo de las Rugosidades de Terreno B o C por una distancia de 200 m o 20 veces la altura de la edificación, la que sea mayor.</t>
  </si>
  <si>
    <t>CASO</t>
  </si>
  <si>
    <t>c. Todos los Sistemas Principales Resistentes a Cargas de Viento de los edificios excepto aquellos de los edificios bajos diseñados usando la Fig. B.6.5-7</t>
  </si>
  <si>
    <t>Topografía:</t>
  </si>
  <si>
    <t>COMBINACIONES DE CARGA</t>
  </si>
  <si>
    <t>MÉTODOS DE DISEÑO</t>
  </si>
  <si>
    <t>ARTICULO</t>
  </si>
  <si>
    <t>REF</t>
  </si>
  <si>
    <t>Método de Diseño:</t>
  </si>
  <si>
    <t>Resistencia última (LRFD)</t>
  </si>
  <si>
    <t>B.2.3</t>
  </si>
  <si>
    <r>
      <rPr>
        <b/>
        <sz val="11"/>
        <color theme="1"/>
        <rFont val="Calibri"/>
        <family val="2"/>
        <scheme val="minor"/>
      </rPr>
      <t>B.2.4.2 — COMBINACIONES BÁSICAS</t>
    </r>
    <r>
      <rPr>
        <sz val="11"/>
        <color theme="1"/>
        <rFont val="Calibri"/>
        <family val="2"/>
        <scheme val="minor"/>
      </rPr>
      <t xml:space="preserve"> — El diseño de las estructuras, sus componentes y cimentaciones debe hacerse de tal forma que sus resistencias de diseño igualen o excedan los efectos producidos por las cargas mayoradas en las siguientes combinaciones:
1.4D                                                            (B.2.4-1)
1.2D+ 1.6L + 0.5(Lr ó G ó Le )             (B.2.4-2)
1.2D+ 1.6 Lr ó G ó Le + 1.0L ó 0.5W  (B.2.4-3)
1.2D+ 1.0W+ 1.0L + 0.5 Lr ó G ó Le   (B.2.4-4)
1.2D+ 1.0E + 1.0L                                    (B.2.4-5)
0.9D+ 1.0W                                               (B.2.4-6)
0.9D+ 1.0E                                                 (B.2.4-7)
</t>
    </r>
  </si>
  <si>
    <t>Esfuerzos de Trabajo (ASD)</t>
  </si>
  <si>
    <t>B.2.4</t>
  </si>
  <si>
    <r>
      <rPr>
        <b/>
        <sz val="11"/>
        <color theme="1"/>
        <rFont val="Calibri"/>
        <family val="2"/>
        <scheme val="minor"/>
      </rPr>
      <t>B.2.3.1 — COMBINACIONES BÁSICAS</t>
    </r>
    <r>
      <rPr>
        <sz val="11"/>
        <color theme="1"/>
        <rFont val="Calibri"/>
        <family val="2"/>
        <scheme val="minor"/>
      </rPr>
      <t xml:space="preserve"> — Excepto cuando así se indique en la parte correspondiente a cada uno de los materiales que se regulan en este Reglamento, deben tenerse en cuenta todas las cargas indicadas a continuación actuando en las combinaciones que se dan. El diseño debe hacerse para la combinación que produzca el efecto más desfavorable en la edificación, en su cimentación, o en el elemento estructural bajo consideración. El efecto más desfavorable puede ocurrir cuando una o varias de las cargas no actúen.
D+ F                                                                                   (B.2.3-1)
D+ H + F + L + T                                                               (B.2.3-2)
D+ H+ F + (Lr ó G ó Le)                                                 (B.2.3-3)
D+ H+ F + 0.75(L + T) + 0.75(Lr ó G ó Le )               (B.2.3-4)
D+ H + F + W                                                                    (B.2.3-5)
D+ H + F + 0.7E                                                                (B.2.3-6)
D+ H+ F + 0.75W+ 0.75L + 0.75(Lr ó G ó Le )          (B.2.3-7)
D+ H + F + 0.75(0.7E) + 0.75L + 0.75(Lr ó G ó Le ) (B.2.3-8)
0.6D+W+ H                                                                        (B.2.3-9)
0.6D+ 0.7E + H                                                                  (B.2.3-10)</t>
    </r>
  </si>
  <si>
    <t>SISMO 10 DE AGOSTO 2026 - ESTACIÓN ARMEC</t>
  </si>
  <si>
    <t>Periodo T (s)</t>
  </si>
  <si>
    <t>Componente EW (cm/s2)</t>
  </si>
  <si>
    <t>Componente NS (cm/s2)</t>
  </si>
  <si>
    <t>Componente Vert (cm/s2)</t>
  </si>
  <si>
    <t>Sismo2026-ARMEC - EW (%g)</t>
  </si>
  <si>
    <t>Sismo2026-ARMEC - NS (%g)</t>
  </si>
  <si>
    <t>Sismo2026-ARMEC - Vert (%g)</t>
  </si>
  <si>
    <t>Observación / Hito</t>
  </si>
  <si>
    <t>Inicio de registro (10^{-2})</t>
  </si>
  <si>
    <t>Mínimo local EW</t>
  </si>
  <si>
    <t>Inicio ascenso V</t>
  </si>
  <si>
    <t>Pico Máximo V</t>
  </si>
  <si>
    <t>(10^{-1}) Inicio fuerte ascenso</t>
  </si>
  <si>
    <t>ARMENIA</t>
  </si>
  <si>
    <t>EW</t>
  </si>
  <si>
    <t>NS</t>
  </si>
  <si>
    <t>VERT</t>
  </si>
  <si>
    <t>Pico 1 de NS</t>
  </si>
  <si>
    <t>Sa (%g)</t>
  </si>
  <si>
    <t>Periodo (T)</t>
  </si>
  <si>
    <t>Intersección EW y NS</t>
  </si>
  <si>
    <t>Pico 1 EW</t>
  </si>
  <si>
    <t>Pico 2 NS</t>
  </si>
  <si>
    <t>Pico 2 V</t>
  </si>
  <si>
    <t>Mínimo local relativo</t>
  </si>
  <si>
    <t>Ascenso vertiginoso</t>
  </si>
  <si>
    <t>Pico 3 NS</t>
  </si>
  <si>
    <t>Pico secundario EW</t>
  </si>
  <si>
    <t>Ascenso al pico máximo</t>
  </si>
  <si>
    <t>PICO MÁXIMO GLOBAL (NS/EW)</t>
  </si>
  <si>
    <t>Caída rápida post-pico</t>
  </si>
  <si>
    <t>(10^0)</t>
  </si>
  <si>
    <t>SISMO 10 DE AGOSTO 2026 - ESTACIÓN CIRS</t>
  </si>
  <si>
    <t>Sismo2026-CIRS - EW (%g)</t>
  </si>
  <si>
    <t>Sismo2026-CIRS - NS (%g)</t>
  </si>
  <si>
    <t>Sismo2026-CIRS - Vert (%g)</t>
  </si>
  <si>
    <t>Hito / Región</t>
  </si>
  <si>
    <t>Limite inferior / Aceleracion en T -&gt; 0 (10^-2)</t>
  </si>
  <si>
    <t>Plateau inicial constante</t>
  </si>
  <si>
    <t>Lieve incremento inicial</t>
  </si>
  <si>
    <t>Ascenso de componente V</t>
  </si>
  <si>
    <t>Primer pico V local</t>
  </si>
  <si>
    <t>CIRCASIA</t>
  </si>
  <si>
    <t>(10^-1) Pico V local</t>
  </si>
  <si>
    <t>Pico EW intermedio</t>
  </si>
  <si>
    <t>Sa - NSR-10</t>
  </si>
  <si>
    <t>% Sismo/NSR-10</t>
  </si>
  <si>
    <t>PICO MAXIMO GLOBAL V (415 cm/s2)</t>
  </si>
  <si>
    <t>Ascenso vertical en EW y NS</t>
  </si>
  <si>
    <t>Primer subpico maximo NS</t>
  </si>
  <si>
    <t>PICO MAXIMO GLOBAL EW (1625 cm/s2)</t>
  </si>
  <si>
    <t>PICO MAXIMO GLOBAL NS (2000 cm/s2)</t>
  </si>
  <si>
    <t>Caida pronunciada</t>
  </si>
  <si>
    <t>Limite superior de registro</t>
  </si>
  <si>
    <t>SISMO 10 DE AGOSTO 2026 - ESTACIÓN FLND</t>
  </si>
  <si>
    <t>Sismo2026-FLND - EW (%g)</t>
  </si>
  <si>
    <t>Sismo2026-FLND - NS (%g)</t>
  </si>
  <si>
    <t>Sismo2026-FLND - Vert (%g)</t>
  </si>
  <si>
    <t>Valor inicial / T→0 (10−2)</t>
  </si>
  <si>
    <t>Mínimo relativo V</t>
  </si>
  <si>
    <t>Mínimo EW antes de ascenso</t>
  </si>
  <si>
    <t>(10−1)</t>
  </si>
  <si>
    <t>Primer pico importante en EW</t>
  </si>
  <si>
    <t>FILANDIA</t>
  </si>
  <si>
    <t>PICO MÁXIMO V / Cruce EW y NS</t>
  </si>
  <si>
    <t>Pico intermedio destacado NS</t>
  </si>
  <si>
    <t>Ascenso masivo en EW</t>
  </si>
  <si>
    <t>Ascenso final hacia máximos</t>
  </si>
  <si>
    <t>PICO MÁXIMO GLOBAL (EW: 1090 / NS: 1048)</t>
  </si>
  <si>
    <t>Caída pronunciada</t>
  </si>
  <si>
    <t>Límite superior</t>
  </si>
  <si>
    <t>ZONA</t>
  </si>
  <si>
    <t>PEREIRA??? - FALTAN LOS DATOS REALES DE PEREIRA</t>
  </si>
  <si>
    <t>SISMO 10 DE AGOSTO 2026 - ESTACIÓN AMN1C</t>
  </si>
  <si>
    <t>Periodo T (sec)</t>
  </si>
  <si>
    <t>EW (cm/s2)</t>
  </si>
  <si>
    <t>NS (cm/s2)</t>
  </si>
  <si>
    <t>V (cm/s2)</t>
  </si>
  <si>
    <t>EW (%g)</t>
  </si>
  <si>
    <t>NS (%g)</t>
  </si>
  <si>
    <t>V (%g)</t>
  </si>
  <si>
    <t>Hito / Región Característica</t>
  </si>
  <si>
    <t>Límite inferior / Aceleración en $T \to 0$ ($10^{-2}$)</t>
  </si>
  <si>
    <t>Caída inicial en NS</t>
  </si>
  <si>
    <t>Ascenso marcado en EW</t>
  </si>
  <si>
    <t>Primer pico prominente en EW</t>
  </si>
  <si>
    <t>Mínimo local de meseta para NS</t>
  </si>
  <si>
    <t>Mínimo local de meseta para EW</t>
  </si>
  <si>
    <t>($10^{-1}$) Inicio de ascenso en V</t>
  </si>
  <si>
    <t>Mínimo local V</t>
  </si>
  <si>
    <t>A</t>
  </si>
  <si>
    <t>MANIZALES</t>
  </si>
  <si>
    <t>Primer pico importante en V</t>
  </si>
  <si>
    <t>PICO MÁXIMO V (225 cm/s²)</t>
  </si>
  <si>
    <t>Inicio de aceleración vertiginosa</t>
  </si>
  <si>
    <t>Pico menor previo de NS</t>
  </si>
  <si>
    <t>PICO MÁXIMO GLOBAL EW (1030 cm/s²)</t>
  </si>
  <si>
    <t>PICO MÁXIMO GLOBAL NS (1002 cm/s²)</t>
  </si>
  <si>
    <t>Caída libre post-pico</t>
  </si>
  <si>
    <t>($10^0$)</t>
  </si>
  <si>
    <t>Límite superior de registro</t>
  </si>
  <si>
    <t>ESPECTRO - NSR-10</t>
  </si>
  <si>
    <t>Ubicación:</t>
  </si>
  <si>
    <t>Tipo de perfil de suelo</t>
  </si>
  <si>
    <t>Aa =</t>
  </si>
  <si>
    <t>Av =</t>
  </si>
  <si>
    <t>COEFICIENTE Fa</t>
  </si>
  <si>
    <t>Fa =</t>
  </si>
  <si>
    <t>To =</t>
  </si>
  <si>
    <t>Tipo de perfil</t>
  </si>
  <si>
    <t>Intensidad de los movimientos sísmicos, Aa</t>
  </si>
  <si>
    <t>Fv =</t>
  </si>
  <si>
    <t>Tc =</t>
  </si>
  <si>
    <t>I =</t>
  </si>
  <si>
    <t>Tl =</t>
  </si>
  <si>
    <t>T</t>
  </si>
  <si>
    <t>Sa</t>
  </si>
  <si>
    <t>R</t>
  </si>
  <si>
    <r>
      <t>Sa</t>
    </r>
    <r>
      <rPr>
        <vertAlign val="subscript"/>
        <sz val="11"/>
        <color theme="1"/>
        <rFont val="Arial"/>
        <family val="2"/>
      </rPr>
      <t>red</t>
    </r>
  </si>
  <si>
    <t>E</t>
  </si>
  <si>
    <t>F</t>
  </si>
  <si>
    <t>COEFICIENTE Fv</t>
  </si>
  <si>
    <t>Intensidad de los movimientos sísmicos, Av</t>
  </si>
  <si>
    <t>Tn</t>
  </si>
  <si>
    <t>Sa(g)</t>
  </si>
  <si>
    <t>Sd(m)</t>
  </si>
  <si>
    <t>R/FD</t>
  </si>
  <si>
    <r>
      <t>Sa</t>
    </r>
    <r>
      <rPr>
        <vertAlign val="subscript"/>
        <sz val="10"/>
        <color theme="1"/>
        <rFont val="Arial"/>
        <family val="2"/>
      </rPr>
      <t>red</t>
    </r>
  </si>
  <si>
    <r>
      <t>Sd</t>
    </r>
    <r>
      <rPr>
        <vertAlign val="subscript"/>
        <sz val="10"/>
        <color theme="1"/>
        <rFont val="Arial"/>
        <family val="2"/>
      </rPr>
      <t>red</t>
    </r>
  </si>
  <si>
    <t>Periodo fundamental aproximado</t>
  </si>
  <si>
    <t>Ta =</t>
  </si>
  <si>
    <t>Tn =</t>
  </si>
  <si>
    <t>Frecuencias modales</t>
  </si>
  <si>
    <t>T1 =</t>
  </si>
  <si>
    <t>T2 =</t>
  </si>
  <si>
    <t>T3 =</t>
  </si>
  <si>
    <t>T4 =</t>
  </si>
  <si>
    <t>ESPECTRO - CCP-2014</t>
  </si>
  <si>
    <t>PGA =</t>
  </si>
  <si>
    <t>Fpga =</t>
  </si>
  <si>
    <t>COEFICIENTE Fpga</t>
  </si>
  <si>
    <t>Ss =</t>
  </si>
  <si>
    <t>Ts =</t>
  </si>
  <si>
    <t>S1 =</t>
  </si>
  <si>
    <t>ESPECTRO - MICROZONIFICACION SÍSMICA DE ARMENIA</t>
  </si>
  <si>
    <t>Armenia, Quindío</t>
  </si>
  <si>
    <t xml:space="preserve"> </t>
  </si>
  <si>
    <t>Coeficientes Espectrales de Diseño</t>
  </si>
  <si>
    <t>To</t>
  </si>
  <si>
    <t>Tc</t>
  </si>
  <si>
    <t>TL</t>
  </si>
  <si>
    <t>Aa</t>
  </si>
  <si>
    <t>Fa</t>
  </si>
  <si>
    <t>Fv</t>
  </si>
  <si>
    <t>Parametro</t>
  </si>
  <si>
    <t>Sa*</t>
  </si>
  <si>
    <t>Am</t>
  </si>
  <si>
    <t>An</t>
  </si>
  <si>
    <t>ESPECTRO - MICROZONIFICACION DE BOGOTÁ D.C.</t>
  </si>
  <si>
    <t>Bogotá D.C.</t>
  </si>
  <si>
    <t>EDIFICACIONES NUEVAS</t>
  </si>
  <si>
    <t>Fa 475</t>
  </si>
  <si>
    <t>Fv 475</t>
  </si>
  <si>
    <t>Tc (s)</t>
  </si>
  <si>
    <t>TL (s)</t>
  </si>
  <si>
    <t>A0 475 (g)</t>
  </si>
  <si>
    <t>Decreto 523/2010</t>
  </si>
  <si>
    <t>CERROS</t>
  </si>
  <si>
    <t>PIEDEMONTE_A</t>
  </si>
  <si>
    <t>LACUSTRE-300</t>
  </si>
  <si>
    <t>PIEDEMONTE_B</t>
  </si>
  <si>
    <t>PIEDEMONTE_C</t>
  </si>
  <si>
    <t>Ao =</t>
  </si>
  <si>
    <t>LACUSTRE-50</t>
  </si>
  <si>
    <t>A0</t>
  </si>
  <si>
    <t>LACUSTRE-100</t>
  </si>
  <si>
    <t>LACUSTRE-200</t>
  </si>
  <si>
    <t>LACUSTRE-500</t>
  </si>
  <si>
    <t>Sd (m)</t>
  </si>
  <si>
    <r>
      <t>Sd</t>
    </r>
    <r>
      <rPr>
        <vertAlign val="subscript"/>
        <sz val="11"/>
        <color theme="1"/>
        <rFont val="Arial"/>
        <family val="2"/>
      </rPr>
      <t>red</t>
    </r>
    <r>
      <rPr>
        <sz val="11"/>
        <color theme="1"/>
        <rFont val="Arial"/>
        <family val="2"/>
      </rPr>
      <t xml:space="preserve"> (m)</t>
    </r>
  </si>
  <si>
    <t>LACUSTRE_ALUVIAL-200</t>
  </si>
  <si>
    <t>LACUSTRE_ALUVIAL-300</t>
  </si>
  <si>
    <t>ALUVIAL-50</t>
  </si>
  <si>
    <t>ALUVIAL-100</t>
  </si>
  <si>
    <t>ALUVIAL-200</t>
  </si>
  <si>
    <t>ALUVIAL-300</t>
  </si>
  <si>
    <t>DEPÓSITO_LADERA</t>
  </si>
  <si>
    <t>ESPECTRO - MICROZONIFICACION SÍSMICA DE PEREIRA</t>
  </si>
  <si>
    <t>Pereira, Risaralda</t>
  </si>
  <si>
    <t>Decreto 386/2000, Acuerdo 027/2000</t>
  </si>
  <si>
    <t>VALOR</t>
  </si>
  <si>
    <t>Manizales, Caldas</t>
  </si>
  <si>
    <t>Decreto 386/2000,  Acuerdo 0958 de 2017</t>
  </si>
  <si>
    <t>Am =</t>
  </si>
  <si>
    <t>An =</t>
  </si>
  <si>
    <t>Municipio</t>
  </si>
  <si>
    <t>Municipio, Departamento</t>
  </si>
  <si>
    <t>Código Municipio</t>
  </si>
  <si>
    <r>
      <t>A</t>
    </r>
    <r>
      <rPr>
        <b/>
        <sz val="7.5"/>
        <color theme="1"/>
        <rFont val="Arial Narrow"/>
        <family val="2"/>
      </rPr>
      <t>a</t>
    </r>
  </si>
  <si>
    <r>
      <t>A</t>
    </r>
    <r>
      <rPr>
        <b/>
        <sz val="7.5"/>
        <color theme="1"/>
        <rFont val="Arial Narrow"/>
        <family val="2"/>
      </rPr>
      <t>v</t>
    </r>
  </si>
  <si>
    <t>Zona de Amenaza Sísmica</t>
  </si>
  <si>
    <r>
      <t>A</t>
    </r>
    <r>
      <rPr>
        <b/>
        <sz val="7.5"/>
        <color theme="1"/>
        <rFont val="Arial Narrow"/>
        <family val="2"/>
      </rPr>
      <t>e</t>
    </r>
  </si>
  <si>
    <r>
      <t>A</t>
    </r>
    <r>
      <rPr>
        <b/>
        <sz val="7.5"/>
        <color theme="1"/>
        <rFont val="Arial Narrow"/>
        <family val="2"/>
      </rPr>
      <t>d</t>
    </r>
  </si>
  <si>
    <t>Departamento De Amazonas</t>
  </si>
  <si>
    <t>Antioquia</t>
  </si>
  <si>
    <t>Leticia</t>
  </si>
  <si>
    <t>Baja</t>
  </si>
  <si>
    <t>Distrito</t>
  </si>
  <si>
    <t>El Encanto</t>
  </si>
  <si>
    <t>Atlántico</t>
  </si>
  <si>
    <t>La Chorrera</t>
  </si>
  <si>
    <t>Bolívar</t>
  </si>
  <si>
    <t>La Pedrera</t>
  </si>
  <si>
    <t>Boyacá</t>
  </si>
  <si>
    <t>La Victoria</t>
  </si>
  <si>
    <t>Caldas</t>
  </si>
  <si>
    <t>Mirití-Paraná</t>
  </si>
  <si>
    <t>Caquetá</t>
  </si>
  <si>
    <t>Puerto Alegría</t>
  </si>
  <si>
    <t>Cauca</t>
  </si>
  <si>
    <t>Puerto Arica</t>
  </si>
  <si>
    <t>Cesar</t>
  </si>
  <si>
    <t>Puerto Nariño</t>
  </si>
  <si>
    <t>Córdoba</t>
  </si>
  <si>
    <t>Puerto Santander</t>
  </si>
  <si>
    <t>Cundinamarca</t>
  </si>
  <si>
    <t>Tarapacá</t>
  </si>
  <si>
    <t>Choco</t>
  </si>
  <si>
    <t>Departamento De Antioquia</t>
  </si>
  <si>
    <t>Huila</t>
  </si>
  <si>
    <t>Medellín</t>
  </si>
  <si>
    <t>La_Guajira</t>
  </si>
  <si>
    <t>Abejorral</t>
  </si>
  <si>
    <t>Alta</t>
  </si>
  <si>
    <t>Magdalena</t>
  </si>
  <si>
    <t>Abriaquí</t>
  </si>
  <si>
    <t>Meta</t>
  </si>
  <si>
    <t>Alejandría</t>
  </si>
  <si>
    <t>Nariño</t>
  </si>
  <si>
    <t>Amagá</t>
  </si>
  <si>
    <t>Norte_de_Santander</t>
  </si>
  <si>
    <t>Amalfi</t>
  </si>
  <si>
    <t>Andes</t>
  </si>
  <si>
    <t>Risaralda</t>
  </si>
  <si>
    <t>Angelópolis</t>
  </si>
  <si>
    <t>Santander</t>
  </si>
  <si>
    <t>Angostura</t>
  </si>
  <si>
    <t>Sucre</t>
  </si>
  <si>
    <t>Anorí</t>
  </si>
  <si>
    <t>Tolima</t>
  </si>
  <si>
    <t>Anzá</t>
  </si>
  <si>
    <t>Valle</t>
  </si>
  <si>
    <t>Apartadó</t>
  </si>
  <si>
    <t>Arauca</t>
  </si>
  <si>
    <t>Arboletes</t>
  </si>
  <si>
    <t>Casanare</t>
  </si>
  <si>
    <t>Argelia</t>
  </si>
  <si>
    <t>Putumayo</t>
  </si>
  <si>
    <t>Amazonas</t>
  </si>
  <si>
    <t>Barbosa</t>
  </si>
  <si>
    <t>San_Andrés</t>
  </si>
  <si>
    <t>Bello</t>
  </si>
  <si>
    <t>Guainía</t>
  </si>
  <si>
    <t>Belmira</t>
  </si>
  <si>
    <t>Guaviare</t>
  </si>
  <si>
    <t>Betania</t>
  </si>
  <si>
    <t>Vaupés</t>
  </si>
  <si>
    <t>Betulia</t>
  </si>
  <si>
    <t>Vichada</t>
  </si>
  <si>
    <t>Briceño</t>
  </si>
  <si>
    <t>Buriticá</t>
  </si>
  <si>
    <t>Cañasgordas</t>
  </si>
  <si>
    <t>Cáceres</t>
  </si>
  <si>
    <t>Caicedo</t>
  </si>
  <si>
    <t>Campamento</t>
  </si>
  <si>
    <t>Caracolí</t>
  </si>
  <si>
    <t>Caramanta</t>
  </si>
  <si>
    <t>Carepa</t>
  </si>
  <si>
    <t>Carmen De Viboral</t>
  </si>
  <si>
    <t>Carolina</t>
  </si>
  <si>
    <t>Caucásia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</si>
  <si>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</si>
  <si>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</si>
  <si>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</si>
  <si>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</si>
  <si>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</si>
  <si>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</si>
  <si>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</si>
  <si>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</si>
  <si>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 Matías</t>
  </si>
  <si>
    <t>Ebéjico</t>
  </si>
  <si>
    <t>El Bagre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</si>
  <si>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</si>
  <si>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</si>
  <si>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</si>
  <si>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</si>
  <si>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</si>
  <si>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</si>
  <si>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</si>
  <si>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</si>
  <si>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</si>
  <si>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</si>
  <si>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</si>
  <si>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</si>
  <si>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</si>
  <si>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</si>
  <si>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</si>
  <si>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</si>
  <si>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</si>
  <si>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</si>
  <si>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</si>
  <si>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</si>
  <si>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</si>
  <si>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</si>
  <si>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</si>
  <si>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</si>
  <si>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Montebello</t>
  </si>
  <si>
    <t>Murindó</t>
  </si>
  <si>
    <t>Mutatá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</si>
  <si>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</si>
  <si>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</si>
  <si>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</si>
  <si>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</si>
  <si>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</si>
  <si>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</si>
  <si>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</si>
  <si>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</si>
  <si>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</si>
  <si>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</si>
  <si>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</si>
  <si>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</si>
  <si>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</si>
  <si>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</si>
  <si>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</si>
  <si>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</si>
  <si>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</si>
  <si>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</si>
  <si>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</si>
  <si>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</si>
  <si>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</si>
  <si>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</si>
  <si>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</t>
  </si>
  <si>
    <t>San Pedro De Urabá</t>
  </si>
  <si>
    <t>San Rafael</t>
  </si>
  <si>
    <t>San Roque</t>
  </si>
  <si>
    <t>San Vicente</t>
  </si>
  <si>
    <t>Santa Bárbara</t>
  </si>
  <si>
    <t>Santa Rosa De Osos</t>
  </si>
  <si>
    <t>Santafé De Antioquia</t>
  </si>
  <si>
    <t>Santo Domingo</t>
  </si>
  <si>
    <t>Santuario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</si>
  <si>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</si>
  <si>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</si>
  <si>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</si>
  <si>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</si>
  <si>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</si>
  <si>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</si>
  <si>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</si>
  <si>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</si>
  <si>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</si>
  <si>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</si>
  <si>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</si>
  <si>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</si>
  <si>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</si>
  <si>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</si>
  <si>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</si>
  <si>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</si>
  <si>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</si>
  <si>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</si>
  <si>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</si>
  <si>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</si>
  <si>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</si>
  <si>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Departamento De Arauca</t>
  </si>
  <si>
    <t>Arauquita</t>
  </si>
  <si>
    <t>Cravo Norte</t>
  </si>
  <si>
    <t>Fortul</t>
  </si>
  <si>
    <t>Puerto Rondón</t>
  </si>
  <si>
    <t>Saravena</t>
  </si>
  <si>
    <t>Tame</t>
  </si>
  <si>
    <t>Archipiélago De San Andrés</t>
  </si>
  <si>
    <t>Providencia y Santa Catalina</t>
  </si>
  <si>
    <t>Departamento De Atlántico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</si>
  <si>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</si>
  <si>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</si>
  <si>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</si>
  <si>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</si>
  <si>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</si>
  <si>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</si>
  <si>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</si>
  <si>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</si>
  <si>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</si>
  <si>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</si>
  <si>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Piojo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</si>
  <si>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</si>
  <si>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</si>
  <si>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</si>
  <si>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</si>
  <si>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</si>
  <si>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</si>
  <si>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</si>
  <si>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</si>
  <si>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Suán</t>
  </si>
  <si>
    <t>Tubará</t>
  </si>
  <si>
    <t>Usiacurí</t>
  </si>
  <si>
    <t>Departamento De Bolívar</t>
  </si>
  <si>
    <t>Cartagena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</si>
  <si>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</si>
  <si>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</si>
  <si>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</si>
  <si>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</si>
  <si>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</si>
  <si>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</si>
  <si>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</si>
  <si>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</si>
  <si>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</si>
  <si>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Clemencia</t>
  </si>
  <si>
    <t>El Carmen De Bolívar</t>
  </si>
  <si>
    <t>El Guamo</t>
  </si>
  <si>
    <t>El Peñón</t>
  </si>
  <si>
    <t>Hatillo De Loba</t>
  </si>
  <si>
    <t>Magangue</t>
  </si>
  <si>
    <t>Mahates</t>
  </si>
  <si>
    <t>Margarita</t>
  </si>
  <si>
    <t>María La Baja</t>
  </si>
  <si>
    <t>Mompós</t>
  </si>
  <si>
    <t>Montecristo</t>
  </si>
  <si>
    <t>Morales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</si>
  <si>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</si>
  <si>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</si>
  <si>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</si>
  <si>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</si>
  <si>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</si>
  <si>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</si>
  <si>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</si>
  <si>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</si>
  <si>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</si>
  <si>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</si>
  <si>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</si>
  <si>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</si>
  <si>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</si>
  <si>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</si>
  <si>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</si>
  <si>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</si>
  <si>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</si>
  <si>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</si>
  <si>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</si>
  <si>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</si>
  <si>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</si>
  <si>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</si>
  <si>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Departamento De Boyacá</t>
  </si>
  <si>
    <t>Tunja</t>
  </si>
  <si>
    <t>Almeida</t>
  </si>
  <si>
    <t>Aquitania</t>
  </si>
  <si>
    <t>Arcabuco</t>
  </si>
  <si>
    <t>Belén</t>
  </si>
  <si>
    <t>Berbeo</t>
  </si>
  <si>
    <t>Beteitiva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</si>
  <si>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</si>
  <si>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</si>
  <si>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</si>
  <si>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</si>
  <si>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</si>
  <si>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</si>
  <si>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</si>
  <si>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</si>
  <si>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</si>
  <si>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</si>
  <si>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</si>
  <si>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</si>
  <si>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</si>
  <si>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</si>
  <si>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</si>
  <si>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</si>
  <si>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</si>
  <si>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Covarachia</t>
  </si>
  <si>
    <t>Cubará</t>
  </si>
  <si>
    <t>Cucaita</t>
  </si>
  <si>
    <t>Cuitiva</t>
  </si>
  <si>
    <t>Duitama</t>
  </si>
  <si>
    <t>El Cocuy</t>
  </si>
  <si>
    <t>El Espino</t>
  </si>
  <si>
    <t>Firavitoba</t>
  </si>
  <si>
    <t>Floresta</t>
  </si>
  <si>
    <t>Gachantiva</t>
  </si>
  <si>
    <t>Gámeza</t>
  </si>
  <si>
    <t>Garagoa</t>
  </si>
  <si>
    <t>Guacamayas</t>
  </si>
  <si>
    <t>Guateque</t>
  </si>
  <si>
    <t>Guayatá</t>
  </si>
  <si>
    <t>Guicán</t>
  </si>
  <si>
    <t>Iza</t>
  </si>
  <si>
    <t>Jenesano</t>
  </si>
  <si>
    <t>La Capilla</t>
  </si>
  <si>
    <t>La Uvita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</si>
  <si>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</si>
  <si>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</si>
  <si>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</si>
  <si>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</si>
  <si>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</si>
  <si>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</si>
  <si>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</si>
  <si>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</si>
  <si>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</si>
  <si>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</si>
  <si>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</si>
  <si>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</si>
  <si>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</si>
  <si>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</si>
  <si>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</si>
  <si>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</si>
  <si>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</si>
  <si>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</si>
  <si>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</si>
  <si>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</si>
  <si>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</si>
  <si>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</si>
  <si>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</si>
  <si>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</si>
  <si>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Quipama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</si>
  <si>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</si>
  <si>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</si>
  <si>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</si>
  <si>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</si>
  <si>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</si>
  <si>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</si>
  <si>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</si>
  <si>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</si>
  <si>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</si>
  <si>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</si>
  <si>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</si>
  <si>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Borbur</t>
  </si>
  <si>
    <t>San Rosa Viterbo</t>
  </si>
  <si>
    <t>Santa María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</si>
  <si>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</si>
  <si>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</si>
  <si>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</si>
  <si>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</si>
  <si>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</si>
  <si>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</si>
  <si>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</si>
  <si>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</si>
  <si>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</si>
  <si>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</si>
  <si>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</si>
  <si>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</si>
  <si>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</si>
  <si>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</si>
  <si>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</si>
  <si>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</si>
  <si>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</si>
  <si>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</si>
  <si>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</si>
  <si>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</si>
  <si>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</si>
  <si>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</si>
  <si>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</si>
  <si>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Toguí</t>
  </si>
  <si>
    <t>Tópaga</t>
  </si>
  <si>
    <t>Tota</t>
  </si>
  <si>
    <t>Tunungua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</si>
  <si>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</si>
  <si>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</si>
  <si>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</si>
  <si>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</si>
  <si>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</si>
  <si>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</si>
  <si>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</si>
  <si>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Zetaquirá</t>
  </si>
  <si>
    <t>Departamento De Caldas</t>
  </si>
  <si>
    <t>Manizales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</si>
  <si>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</si>
  <si>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</si>
  <si>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</si>
  <si>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</si>
  <si>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</si>
  <si>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</si>
  <si>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</si>
  <si>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</si>
  <si>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</si>
  <si>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</si>
  <si>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</si>
  <si>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</si>
  <si>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</si>
  <si>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</si>
  <si>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</si>
  <si>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</si>
  <si>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</si>
  <si>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</si>
  <si>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</si>
  <si>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</si>
  <si>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</si>
  <si>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Supía</t>
  </si>
  <si>
    <t>Victoria</t>
  </si>
  <si>
    <t>Villamaría</t>
  </si>
  <si>
    <t>Viterbo</t>
  </si>
  <si>
    <t>Departamento De Caquetá</t>
  </si>
  <si>
    <t>Florencia</t>
  </si>
  <si>
    <t>Albania</t>
  </si>
  <si>
    <t>Belén De los Andaquíes</t>
  </si>
  <si>
    <t>Cartagena del Chairá</t>
  </si>
  <si>
    <t>Currillo</t>
  </si>
  <si>
    <t>El Doncello</t>
  </si>
  <si>
    <t>El Paujil</t>
  </si>
  <si>
    <t>La Montañita</t>
  </si>
  <si>
    <t>Milán</t>
  </si>
  <si>
    <t>Morelia</t>
  </si>
  <si>
    <t>Puerto Rico</t>
  </si>
  <si>
    <t>San José De La Fragua</t>
  </si>
  <si>
    <t>San Vicente del Caguán</t>
  </si>
  <si>
    <t>Solano</t>
  </si>
  <si>
    <t>Solita</t>
  </si>
  <si>
    <t>Departamento De Casanare</t>
  </si>
  <si>
    <t>Yopal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</si>
  <si>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</si>
  <si>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</si>
  <si>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</si>
  <si>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</si>
  <si>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</si>
  <si>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</si>
  <si>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</si>
  <si>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</si>
  <si>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</si>
  <si>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</si>
  <si>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</si>
  <si>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</si>
  <si>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</si>
  <si>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</si>
  <si>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</si>
  <si>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</si>
  <si>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Departamento del Cauca</t>
  </si>
  <si>
    <t>Popayán</t>
  </si>
  <si>
    <t>Almaguer</t>
  </si>
  <si>
    <t>Balboa</t>
  </si>
  <si>
    <t>Buenos Aires</t>
  </si>
  <si>
    <t>Cajibío</t>
  </si>
  <si>
    <t>Caldonó</t>
  </si>
  <si>
    <t>Caloto</t>
  </si>
  <si>
    <t>Corinto</t>
  </si>
  <si>
    <t>El Tambo</t>
  </si>
  <si>
    <t>Guapí</t>
  </si>
  <si>
    <t>Inzá</t>
  </si>
  <si>
    <t>Jambaló</t>
  </si>
  <si>
    <t>La Sierra</t>
  </si>
  <si>
    <t>La Vega</t>
  </si>
  <si>
    <t>López</t>
  </si>
  <si>
    <t>Mercaderes</t>
  </si>
  <si>
    <t>Miranda</t>
  </si>
  <si>
    <t>Padilla</t>
  </si>
  <si>
    <t>Patía</t>
  </si>
  <si>
    <t>Piamonte</t>
  </si>
  <si>
    <t>Piendamó</t>
  </si>
  <si>
    <t>Puerto Tejada</t>
  </si>
  <si>
    <t>Puracé</t>
  </si>
  <si>
    <t>Rosas</t>
  </si>
  <si>
    <t>San Sebastián</t>
  </si>
  <si>
    <t>Santander De Quilichao</t>
  </si>
  <si>
    <t>Silvia</t>
  </si>
  <si>
    <t>Sotará</t>
  </si>
  <si>
    <t>Suárez</t>
  </si>
  <si>
    <t>Timbío</t>
  </si>
  <si>
    <t>Timbiquí</t>
  </si>
  <si>
    <t>Toribío</t>
  </si>
  <si>
    <t>Totoró</t>
  </si>
  <si>
    <t>Villa Rica</t>
  </si>
  <si>
    <t>Departamento del Cesar</t>
  </si>
  <si>
    <t>Valledupar</t>
  </si>
  <si>
    <t>Aguachica</t>
  </si>
  <si>
    <t>Agustín Codazzi</t>
  </si>
  <si>
    <t>Astréa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</si>
  <si>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</si>
  <si>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</si>
  <si>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</si>
  <si>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</si>
  <si>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</si>
  <si>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</si>
  <si>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</si>
  <si>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</si>
  <si>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</si>
  <si>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</si>
  <si>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</si>
  <si>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</si>
  <si>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</si>
  <si>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</si>
  <si>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</si>
  <si>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</si>
  <si>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</si>
  <si>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</si>
  <si>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</si>
  <si>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</si>
  <si>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</si>
  <si>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Departamento del Chocó</t>
  </si>
  <si>
    <t>Quibdó</t>
  </si>
  <si>
    <t>Acandí</t>
  </si>
  <si>
    <t>Alto Baudó</t>
  </si>
  <si>
    <t>Atrato</t>
  </si>
  <si>
    <t>Bagadó</t>
  </si>
  <si>
    <t>Bahía Solano</t>
  </si>
  <si>
    <t>Bajo Baudó</t>
  </si>
  <si>
    <t>Belén De Bajirá</t>
  </si>
  <si>
    <t>Bojayá</t>
  </si>
  <si>
    <t>Cantón De San Pablo</t>
  </si>
  <si>
    <t>Carmen del Darién</t>
  </si>
  <si>
    <t>Certeguí</t>
  </si>
  <si>
    <t>Condoto</t>
  </si>
  <si>
    <t>El Carmen De Atrato</t>
  </si>
  <si>
    <t>El Litoral del San Juan</t>
  </si>
  <si>
    <t>Itsmína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</si>
  <si>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</si>
  <si>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</si>
  <si>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</si>
  <si>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</si>
  <si>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</si>
  <si>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</si>
  <si>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</si>
  <si>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</si>
  <si>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</si>
  <si>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</si>
  <si>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</si>
  <si>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</si>
  <si>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</si>
  <si>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</si>
  <si>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Departamento De Córdoba</t>
  </si>
  <si>
    <t>Montería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</si>
  <si>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</si>
  <si>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</si>
  <si>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</si>
  <si>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</si>
  <si>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</si>
  <si>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</si>
  <si>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</si>
  <si>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</si>
  <si>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</si>
  <si>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</si>
  <si>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Moñitos</t>
  </si>
  <si>
    <t>Momil</t>
  </si>
  <si>
    <t>Montelíbano</t>
  </si>
  <si>
    <t>Planeta Rica</t>
  </si>
  <si>
    <t>Pueblo Nuevo</t>
  </si>
  <si>
    <t>Puerto Escondido</t>
  </si>
  <si>
    <t>Puerto Libertador</t>
  </si>
  <si>
    <t>Purísima</t>
  </si>
  <si>
    <t>Sahagún</t>
  </si>
  <si>
    <t>San Andrés De Sotavento</t>
  </si>
  <si>
    <t>San Antero</t>
  </si>
  <si>
    <t>San Bernardo del Viento</t>
  </si>
  <si>
    <t>San Pelayo</t>
  </si>
  <si>
    <t>Tierralta</t>
  </si>
  <si>
    <t>Valencia</t>
  </si>
  <si>
    <t>Departamento De Cundinamarca</t>
  </si>
  <si>
    <t>Agua De Dios</t>
  </si>
  <si>
    <t>Albán</t>
  </si>
  <si>
    <t>Anapóima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</si>
  <si>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</si>
  <si>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</si>
  <si>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</si>
  <si>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</si>
  <si>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</si>
  <si>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</si>
  <si>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</si>
  <si>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</si>
  <si>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</si>
  <si>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</si>
  <si>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</si>
  <si>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</si>
  <si>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</si>
  <si>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</si>
  <si>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</si>
  <si>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</si>
  <si>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</si>
  <si>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</si>
  <si>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</si>
  <si>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</si>
  <si>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</si>
  <si>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</si>
  <si>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</si>
  <si>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</si>
  <si>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</si>
  <si>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</si>
  <si>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</si>
  <si>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</si>
  <si>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</si>
  <si>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</si>
  <si>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</si>
  <si>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</si>
  <si>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</si>
  <si>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</si>
  <si>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</si>
  <si>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</si>
  <si>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</si>
  <si>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</si>
  <si>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</si>
  <si>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</si>
  <si>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</si>
  <si>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</si>
  <si>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</si>
  <si>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</si>
  <si>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</si>
  <si>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</si>
  <si>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</si>
  <si>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</si>
  <si>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</si>
  <si>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</si>
  <si>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</si>
  <si>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</si>
  <si>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</si>
  <si>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</si>
  <si>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</si>
  <si>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Nimáima</t>
  </si>
  <si>
    <t>Nocáima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</si>
  <si>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</si>
  <si>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</si>
  <si>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</si>
  <si>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</si>
  <si>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</si>
  <si>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</si>
  <si>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</si>
  <si>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</si>
  <si>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</si>
  <si>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</si>
  <si>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</si>
  <si>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</si>
  <si>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</si>
  <si>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</si>
  <si>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</si>
  <si>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</si>
  <si>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</si>
  <si>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</si>
  <si>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</si>
  <si>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</si>
  <si>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</si>
  <si>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</si>
  <si>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</si>
  <si>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</si>
  <si>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</si>
  <si>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</si>
  <si>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</si>
  <si>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Tábio</t>
  </si>
  <si>
    <t>Tausa</t>
  </si>
  <si>
    <t>Tena</t>
  </si>
  <si>
    <t>Tenjo</t>
  </si>
  <si>
    <t>Tibacuy</t>
  </si>
  <si>
    <t>Tibiritá</t>
  </si>
  <si>
    <t>Tocaima</t>
  </si>
  <si>
    <t>Tocancipá</t>
  </si>
  <si>
    <t>Topaipí</t>
  </si>
  <si>
    <t>Ubalá</t>
  </si>
  <si>
    <t>Ubaque</t>
  </si>
  <si>
    <t>Ubaté</t>
  </si>
  <si>
    <t>Une</t>
  </si>
  <si>
    <t>Útica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</si>
  <si>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</si>
  <si>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</si>
  <si>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</si>
  <si>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</si>
  <si>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</si>
  <si>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</si>
  <si>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</si>
  <si>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</si>
  <si>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Zipaquirá</t>
  </si>
  <si>
    <t>Capital</t>
  </si>
  <si>
    <t>Departamento del Guainía</t>
  </si>
  <si>
    <t>Puerto Inírida</t>
  </si>
  <si>
    <t>Barranco Mina</t>
  </si>
  <si>
    <t>Cacahual</t>
  </si>
  <si>
    <t>La Guadalupe</t>
  </si>
  <si>
    <t>Mapiripaná</t>
  </si>
  <si>
    <t>Morichal</t>
  </si>
  <si>
    <t>Pana Pana</t>
  </si>
  <si>
    <t>San Felipe</t>
  </si>
  <si>
    <t>Departamento De La Guajira</t>
  </si>
  <si>
    <t>Riohacha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</si>
  <si>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</si>
  <si>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</si>
  <si>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</si>
  <si>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</si>
  <si>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</si>
  <si>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</si>
  <si>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</si>
  <si>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</si>
  <si>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San Juan del Cesar</t>
  </si>
  <si>
    <t>Uribía</t>
  </si>
  <si>
    <t>Urumita</t>
  </si>
  <si>
    <t>Departamento del Guaviare</t>
  </si>
  <si>
    <t>San José del Guaviare</t>
  </si>
  <si>
    <t>El Retorno</t>
  </si>
  <si>
    <t>Departamento del Huila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</si>
  <si>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</si>
  <si>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</si>
  <si>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</si>
  <si>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</si>
  <si>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</si>
  <si>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</si>
  <si>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</si>
  <si>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</si>
  <si>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</si>
  <si>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</si>
  <si>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</si>
  <si>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</si>
  <si>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</si>
  <si>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</si>
  <si>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</si>
  <si>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</si>
  <si>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</si>
  <si>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</si>
  <si>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</si>
  <si>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</si>
  <si>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</si>
  <si>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</si>
  <si>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</si>
  <si>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</si>
  <si>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</si>
  <si>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</si>
  <si>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Suazá</t>
  </si>
  <si>
    <t>Tarquí</t>
  </si>
  <si>
    <t>Tello</t>
  </si>
  <si>
    <t>Teruel</t>
  </si>
  <si>
    <t>Tesalia</t>
  </si>
  <si>
    <t>Timaná</t>
  </si>
  <si>
    <t>Villavieja</t>
  </si>
  <si>
    <t>Yaguará</t>
  </si>
  <si>
    <t>Departamento del Magdalena</t>
  </si>
  <si>
    <t>Santa Marta</t>
  </si>
  <si>
    <t>Algarrobo</t>
  </si>
  <si>
    <t>Aracataca</t>
  </si>
  <si>
    <t>Ariguaní</t>
  </si>
  <si>
    <t>Cerro San Antonio</t>
  </si>
  <si>
    <t>Chivolo</t>
  </si>
  <si>
    <t>Ciénaga</t>
  </si>
  <si>
    <t>El Banco</t>
  </si>
  <si>
    <t>El Piñon</t>
  </si>
  <si>
    <t>El Reten</t>
  </si>
  <si>
    <t>Fundación</t>
  </si>
  <si>
    <t>Guamal</t>
  </si>
  <si>
    <t>Nueva Granada</t>
  </si>
  <si>
    <t>Pedraza</t>
  </si>
  <si>
    <t>Pijino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</si>
  <si>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</si>
  <si>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</si>
  <si>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</si>
  <si>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</si>
  <si>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</si>
  <si>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</si>
  <si>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</si>
  <si>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</si>
  <si>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</si>
  <si>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</si>
  <si>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</si>
  <si>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</si>
  <si>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</si>
  <si>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Departamento del Meta</t>
  </si>
  <si>
    <t>Villavicencio</t>
  </si>
  <si>
    <t>Acacias</t>
  </si>
  <si>
    <t>Barranca De Upía</t>
  </si>
  <si>
    <t>Cabuyaro</t>
  </si>
  <si>
    <t>Castilla La Nueva</t>
  </si>
  <si>
    <t>Cumaral</t>
  </si>
  <si>
    <t>El Calvario</t>
  </si>
  <si>
    <t>El Castillo</t>
  </si>
  <si>
    <t>El Dorado</t>
  </si>
  <si>
    <t>Fuente De Oro</t>
  </si>
  <si>
    <t>La Macarena</t>
  </si>
  <si>
    <t>La Uribe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</si>
  <si>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</si>
  <si>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</si>
  <si>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</si>
  <si>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</si>
  <si>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</si>
  <si>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</si>
  <si>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</si>
  <si>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</si>
  <si>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Guaroa</t>
  </si>
  <si>
    <t>San Juan De Arama</t>
  </si>
  <si>
    <t>San Juanito</t>
  </si>
  <si>
    <t>San Luis De Cubarral</t>
  </si>
  <si>
    <t>Vista Hermosa</t>
  </si>
  <si>
    <t>Departamento De Nariño</t>
  </si>
  <si>
    <t>Pasto</t>
  </si>
  <si>
    <t>Aldana</t>
  </si>
  <si>
    <t>Ancuyá</t>
  </si>
  <si>
    <t>Arboleda</t>
  </si>
  <si>
    <t>Barbacoas</t>
  </si>
  <si>
    <t>Buesaco</t>
  </si>
  <si>
    <t>Chachagui</t>
  </si>
  <si>
    <t>Colón</t>
  </si>
  <si>
    <t>Consacá</t>
  </si>
  <si>
    <t>Contadero</t>
  </si>
  <si>
    <t>Cuaspud</t>
  </si>
  <si>
    <t>Cumbal</t>
  </si>
  <si>
    <t>Cumbitará</t>
  </si>
  <si>
    <t>El Charco</t>
  </si>
  <si>
    <t>El Peñol</t>
  </si>
  <si>
    <t>El Rosario</t>
  </si>
  <si>
    <t>El Tablón</t>
  </si>
  <si>
    <t>Francisco Pizarro</t>
  </si>
  <si>
    <t>Funes</t>
  </si>
  <si>
    <t>Guachucal</t>
  </si>
  <si>
    <t>Guaitarilla</t>
  </si>
  <si>
    <t>Gualmatán</t>
  </si>
  <si>
    <t>Iles</t>
  </si>
  <si>
    <t>Imúes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</si>
  <si>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</si>
  <si>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</si>
  <si>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</si>
  <si>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</si>
  <si>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</si>
  <si>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</si>
  <si>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</si>
  <si>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</si>
  <si>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Magüí</t>
  </si>
  <si>
    <t>Mallama</t>
  </si>
  <si>
    <t>Olaya Herrera</t>
  </si>
  <si>
    <t>Ospina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</si>
  <si>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</si>
  <si>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</si>
  <si>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</si>
  <si>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</si>
  <si>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</si>
  <si>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</si>
  <si>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</si>
  <si>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 Lorenzo</t>
  </si>
  <si>
    <t>San Pedro De Cartago</t>
  </si>
  <si>
    <t>Sandoná</t>
  </si>
  <si>
    <t>Santacruz</t>
  </si>
  <si>
    <t>Sapuyés</t>
  </si>
  <si>
    <t>Taminango</t>
  </si>
  <si>
    <t>Tangua</t>
  </si>
  <si>
    <t>Tumaco</t>
  </si>
  <si>
    <t>Túquerres</t>
  </si>
  <si>
    <t>Yacuanquer</t>
  </si>
  <si>
    <t>Departamento del Norte De Santander</t>
  </si>
  <si>
    <t>Cúcuta</t>
  </si>
  <si>
    <t>Abrego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</si>
  <si>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</si>
  <si>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</si>
  <si>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</si>
  <si>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</si>
  <si>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</si>
  <si>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</si>
  <si>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</si>
  <si>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</si>
  <si>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</si>
  <si>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</si>
  <si>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</si>
  <si>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</si>
  <si>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</si>
  <si>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</si>
  <si>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</si>
  <si>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</si>
  <si>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</si>
  <si>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</si>
  <si>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</si>
  <si>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</si>
  <si>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</si>
  <si>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</si>
  <si>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</si>
  <si>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</si>
  <si>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</si>
  <si>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</si>
  <si>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</si>
  <si>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</si>
  <si>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</si>
  <si>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</si>
  <si>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</si>
  <si>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</si>
  <si>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</si>
  <si>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</si>
  <si>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</si>
  <si>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Departamento del 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</si>
  <si>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</si>
  <si>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</si>
  <si>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</si>
  <si>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</si>
  <si>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</si>
  <si>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</si>
  <si>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</si>
  <si>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</si>
  <si>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</si>
  <si>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</si>
  <si>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Departamento del Quindío</t>
  </si>
  <si>
    <t>Calarcá</t>
  </si>
  <si>
    <t>Circasia</t>
  </si>
  <si>
    <t>Filandia</t>
  </si>
  <si>
    <t>Génova</t>
  </si>
  <si>
    <t>La Tebaida</t>
  </si>
  <si>
    <t>Montenegro</t>
  </si>
  <si>
    <t>Pijáo</t>
  </si>
  <si>
    <t>Quimbaya</t>
  </si>
  <si>
    <t>Salento</t>
  </si>
  <si>
    <t>Departamento De Risaralda</t>
  </si>
  <si>
    <t>Pereira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</si>
  <si>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</si>
  <si>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</si>
  <si>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</si>
  <si>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</si>
  <si>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</si>
  <si>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</si>
  <si>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</si>
  <si>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</si>
  <si>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</si>
  <si>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</si>
  <si>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</si>
  <si>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Departamento De Santander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</si>
  <si>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</si>
  <si>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</si>
  <si>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</si>
  <si>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</si>
  <si>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</si>
  <si>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</si>
  <si>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</si>
  <si>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Carcasi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</si>
  <si>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</si>
  <si>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</si>
  <si>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</si>
  <si>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</si>
  <si>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</si>
  <si>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</si>
  <si>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</si>
  <si>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</si>
  <si>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</si>
  <si>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</si>
  <si>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</si>
  <si>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</si>
  <si>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Florian</t>
  </si>
  <si>
    <t>El Guacamayo</t>
  </si>
  <si>
    <t>El Playón</t>
  </si>
  <si>
    <t>Encino</t>
  </si>
  <si>
    <t>Enciso</t>
  </si>
  <si>
    <t>Floridablanca</t>
  </si>
  <si>
    <t>Galán</t>
  </si>
  <si>
    <t>Gámbita</t>
  </si>
  <si>
    <t>Goepsa</t>
  </si>
  <si>
    <t>Girón</t>
  </si>
  <si>
    <t>Guaca</t>
  </si>
  <si>
    <t>Guapotá</t>
  </si>
  <si>
    <t>Guavatá</t>
  </si>
  <si>
    <t>Hato</t>
  </si>
  <si>
    <t>Jesús Maria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</si>
  <si>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</si>
  <si>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</si>
  <si>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</si>
  <si>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</si>
  <si>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</si>
  <si>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</si>
  <si>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</si>
  <si>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</si>
  <si>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</si>
  <si>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</si>
  <si>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</si>
  <si>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</si>
  <si>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Onzága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</si>
  <si>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</si>
  <si>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</si>
  <si>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</si>
  <si>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</si>
  <si>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</si>
  <si>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</si>
  <si>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</si>
  <si>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</si>
  <si>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</si>
  <si>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</si>
  <si>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</si>
  <si>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</si>
  <si>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</si>
  <si>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</si>
  <si>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</si>
  <si>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</si>
  <si>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</si>
  <si>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</si>
  <si>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</si>
  <si>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</si>
  <si>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San José</t>
  </si>
  <si>
    <t>Vélez</t>
  </si>
  <si>
    <t>Vetas</t>
  </si>
  <si>
    <t>Zapatoca</t>
  </si>
  <si>
    <t>Departamento De Sucre</t>
  </si>
  <si>
    <t>Sincelejo</t>
  </si>
  <si>
    <t>Caimito</t>
  </si>
  <si>
    <t>Chalán</t>
  </si>
  <si>
    <t>Coloso</t>
  </si>
  <si>
    <t>Corozal</t>
  </si>
  <si>
    <t>El Roble</t>
  </si>
  <si>
    <t>Galeras</t>
  </si>
  <si>
    <t>Guarandá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</si>
  <si>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</si>
  <si>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</si>
  <si>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</si>
  <si>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</si>
  <si>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</si>
  <si>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</si>
  <si>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</si>
  <si>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Betulia</t>
  </si>
  <si>
    <t>San Marcos</t>
  </si>
  <si>
    <t>San Onofre</t>
  </si>
  <si>
    <t>Sincé</t>
  </si>
  <si>
    <t>Tolú</t>
  </si>
  <si>
    <t>Toluviejo</t>
  </si>
  <si>
    <t>Departamento del Tolima</t>
  </si>
  <si>
    <t>Ibagué</t>
  </si>
  <si>
    <t>Alpujarra</t>
  </si>
  <si>
    <t>Alvarado</t>
  </si>
  <si>
    <t>Ambalema</t>
  </si>
  <si>
    <t>Anzoátegui</t>
  </si>
  <si>
    <t>Armero</t>
  </si>
  <si>
    <t>Ataco</t>
  </si>
  <si>
    <t>Cajamarca</t>
  </si>
  <si>
    <t>Carmen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</si>
  <si>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</si>
  <si>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</si>
  <si>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</si>
  <si>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</si>
  <si>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</si>
  <si>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</si>
  <si>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</si>
  <si>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Falán</t>
  </si>
  <si>
    <t>Flandes</t>
  </si>
  <si>
    <t>Fresno</t>
  </si>
  <si>
    <t>Guamo</t>
  </si>
  <si>
    <t>Hervéo</t>
  </si>
  <si>
    <t>Honda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</si>
  <si>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</si>
  <si>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</si>
  <si>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</si>
  <si>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</si>
  <si>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</si>
  <si>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</si>
  <si>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</si>
  <si>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</si>
  <si>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</si>
  <si>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</si>
  <si>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</si>
  <si>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</si>
  <si>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</si>
  <si>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</si>
  <si>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</si>
  <si>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</si>
  <si>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</si>
  <si>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</si>
  <si>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</si>
  <si>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</si>
  <si>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</si>
  <si>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</si>
  <si>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</si>
  <si>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Departamento del Valle</t>
  </si>
  <si>
    <t>Cali</t>
  </si>
  <si>
    <t>Alcalá</t>
  </si>
  <si>
    <t>Andalucía</t>
  </si>
  <si>
    <t>AnsermaNuevo</t>
  </si>
  <si>
    <t>Buenaventura</t>
  </si>
  <si>
    <t>Buga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</si>
  <si>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</si>
  <si>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</si>
  <si>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</si>
  <si>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</si>
  <si>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</si>
  <si>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</si>
  <si>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</si>
  <si>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</si>
  <si>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</si>
  <si>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</si>
  <si>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</si>
  <si>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</si>
  <si>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</si>
  <si>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</si>
  <si>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</si>
  <si>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</si>
  <si>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</si>
  <si>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</si>
  <si>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</si>
  <si>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</si>
  <si>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</si>
  <si>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</si>
  <si>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</si>
  <si>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</si>
  <si>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</si>
  <si>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</si>
  <si>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Yotocó</t>
  </si>
  <si>
    <t>Yumbo</t>
  </si>
  <si>
    <t>Zarzal</t>
  </si>
  <si>
    <t>Departamento del Vaupés</t>
  </si>
  <si>
    <t>Mitú</t>
  </si>
  <si>
    <t>Carurú</t>
  </si>
  <si>
    <t>Pacoa</t>
  </si>
  <si>
    <t>Papunahua</t>
  </si>
  <si>
    <t>Taraira</t>
  </si>
  <si>
    <t>Yavarate</t>
  </si>
  <si>
    <t>Departamento del Vichada</t>
  </si>
  <si>
    <t>Puerto Carreño</t>
  </si>
  <si>
    <t>Cumaribo</t>
  </si>
  <si>
    <t>La Primavera</t>
  </si>
  <si>
    <t>Santa Rosalía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</si>
</sst>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 msnm&quot;"/>
    <numFmt numFmtId="165" formatCode="0.00&quot; m&quot;"/>
    <numFmt numFmtId="166" formatCode="0.0&quot; m&quot;"/>
    <numFmt numFmtId="167" formatCode="0.0"/>
    <numFmt numFmtId="168" formatCode="0&quot; m/s&quot;"/>
    <numFmt numFmtId="169" formatCode="0.00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 Narrow"/>
      <family val="2"/>
    </font>
    <font>
      <b/>
      <sz val="9"/>
      <color indexed="81"/>
      <name val="Tahoma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0.59999389629810485"/>
      <name val="Lucida Sans"/>
      <family val="2"/>
    </font>
    <font>
      <b/>
      <sz val="11"/>
      <color rgb="FF0070C0"/>
      <name val="Lucida Sans"/>
      <family val="2"/>
    </font>
    <font>
      <sz val="11"/>
      <color theme="1"/>
      <name val="Lucida Sans"/>
      <family val="2"/>
    </font>
    <font>
      <b/>
      <sz val="16"/>
      <name val="Lucida Sans"/>
      <family val="2"/>
    </font>
    <font>
      <b/>
      <sz val="11"/>
      <color rgb="FF0070C0"/>
      <name val="Arial Narrow"/>
      <family val="2"/>
    </font>
    <font>
      <sz val="10"/>
      <name val="Lucida Sans"/>
      <family val="2"/>
    </font>
    <font>
      <b/>
      <sz val="10"/>
      <color rgb="FF0070C0"/>
      <name val="Lucida Sans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rgb="FFFFC000"/>
      <name val="Arial"/>
      <family val="2"/>
    </font>
    <font>
      <sz val="11"/>
      <color rgb="FFFFC000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8"/>
      <name val="Arial"/>
      <family val="2"/>
    </font>
    <font>
      <sz val="8"/>
      <color rgb="FF0070C0"/>
      <name val="Arial"/>
      <family val="2"/>
    </font>
    <font>
      <sz val="11"/>
      <name val="Lucida Sans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1"/>
      <color rgb="FF0070C0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 Narrow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b/>
      <sz val="8.5"/>
      <color theme="1"/>
      <name val="Arial Narrow"/>
      <family val="2"/>
    </font>
    <font>
      <b/>
      <sz val="11.5"/>
      <color theme="1"/>
      <name val="Arial Narrow"/>
      <family val="2"/>
    </font>
    <font>
      <b/>
      <sz val="7.5"/>
      <color theme="1"/>
      <name val="Arial Narrow"/>
      <family val="2"/>
    </font>
    <font>
      <sz val="11"/>
      <color theme="1"/>
      <name val="Arial Narrow"/>
      <family val="2"/>
    </font>
    <font>
      <b/>
      <sz val="10.5"/>
      <color theme="1"/>
      <name val="Arial Narrow"/>
      <family val="2"/>
    </font>
    <font>
      <sz val="8.5"/>
      <color theme="1"/>
      <name val="Arial Narrow"/>
      <family val="2"/>
    </font>
    <font>
      <b/>
      <sz val="8.5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9" fillId="0" borderId="0"/>
    <xf numFmtId="0" fontId="15" fillId="0" borderId="0"/>
  </cellStyleXfs>
  <cellXfs count="324">
    <xf numFmtId="0" fontId="0" fillId="0" borderId="0" xfId="0"/>
    <xf numFmtId="0" fontId="3" fillId="2" borderId="0" xfId="0" applyFont="1" applyFill="1"/>
    <xf numFmtId="0" fontId="0" fillId="2" borderId="0" xfId="0" applyFill="1"/>
    <xf numFmtId="0" fontId="3" fillId="0" borderId="0" xfId="0" applyFont="1"/>
    <xf numFmtId="0" fontId="0" fillId="0" borderId="2" xfId="0" applyBorder="1"/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164" fontId="3" fillId="0" borderId="2" xfId="0" applyNumberFormat="1" applyFont="1" applyBorder="1"/>
    <xf numFmtId="165" fontId="3" fillId="0" borderId="0" xfId="0" applyNumberFormat="1" applyFont="1"/>
    <xf numFmtId="166" fontId="3" fillId="0" borderId="0" xfId="0" applyNumberFormat="1" applyFont="1"/>
    <xf numFmtId="0" fontId="3" fillId="0" borderId="2" xfId="0" applyFont="1" applyBorder="1"/>
    <xf numFmtId="10" fontId="5" fillId="0" borderId="0" xfId="0" applyNumberFormat="1" applyFont="1" applyAlignment="1">
      <alignment horizontal="right"/>
    </xf>
    <xf numFmtId="167" fontId="5" fillId="0" borderId="2" xfId="0" applyNumberFormat="1" applyFont="1" applyBorder="1"/>
    <xf numFmtId="0" fontId="6" fillId="0" borderId="2" xfId="0" applyFont="1" applyBorder="1"/>
    <xf numFmtId="165" fontId="0" fillId="0" borderId="2" xfId="0" applyNumberFormat="1" applyBorder="1"/>
    <xf numFmtId="0" fontId="7" fillId="0" borderId="0" xfId="0" applyFont="1" applyProtection="1">
      <protection hidden="1"/>
    </xf>
    <xf numFmtId="0" fontId="3" fillId="0" borderId="0" xfId="0" applyFont="1"/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9" fillId="0" borderId="5" xfId="0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10" fillId="0" borderId="0" xfId="0" applyFont="1" applyAlignment="1">
      <alignment horizontal="center"/>
    </xf>
    <xf numFmtId="0" fontId="9" fillId="0" borderId="7" xfId="0" applyFont="1" applyBorder="1" applyProtection="1">
      <protection hidden="1"/>
    </xf>
    <xf numFmtId="0" fontId="7" fillId="0" borderId="8" xfId="0" applyFont="1" applyBorder="1" applyProtection="1">
      <protection hidden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0" fillId="0" borderId="9" xfId="0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168" fontId="13" fillId="0" borderId="2" xfId="3" applyNumberFormat="1" applyFont="1" applyBorder="1" applyAlignment="1">
      <alignment horizontal="left"/>
    </xf>
    <xf numFmtId="168" fontId="13" fillId="0" borderId="0" xfId="3" applyNumberFormat="1" applyFont="1" applyAlignment="1">
      <alignment horizontal="left"/>
    </xf>
    <xf numFmtId="168" fontId="8" fillId="0" borderId="0" xfId="3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2" xfId="0" applyBorder="1" applyAlignment="1">
      <alignment vertical="top" wrapText="1"/>
    </xf>
    <xf numFmtId="0" fontId="2" fillId="0" borderId="1" xfId="2"/>
    <xf numFmtId="10" fontId="0" fillId="0" borderId="0" xfId="1" applyNumberFormat="1" applyFont="1"/>
    <xf numFmtId="0" fontId="0" fillId="0" borderId="10" xfId="0" applyBorder="1"/>
    <xf numFmtId="0" fontId="16" fillId="0" borderId="10" xfId="4" applyFont="1" applyBorder="1" applyAlignment="1">
      <alignment horizontal="center" wrapText="1"/>
    </xf>
    <xf numFmtId="0" fontId="3" fillId="0" borderId="10" xfId="0" applyFont="1" applyBorder="1"/>
    <xf numFmtId="10" fontId="0" fillId="0" borderId="10" xfId="0" applyNumberFormat="1" applyBorder="1"/>
    <xf numFmtId="0" fontId="17" fillId="0" borderId="0" xfId="4" applyFont="1" applyAlignment="1">
      <alignment horizontal="center" wrapText="1"/>
    </xf>
    <xf numFmtId="0" fontId="17" fillId="0" borderId="0" xfId="4" applyFont="1" applyAlignment="1">
      <alignment wrapText="1"/>
    </xf>
    <xf numFmtId="0" fontId="17" fillId="0" borderId="0" xfId="4" applyFont="1"/>
    <xf numFmtId="0" fontId="15" fillId="0" borderId="0" xfId="4"/>
    <xf numFmtId="9" fontId="3" fillId="0" borderId="0" xfId="1" applyFont="1"/>
    <xf numFmtId="10" fontId="17" fillId="0" borderId="0" xfId="4" applyNumberFormat="1" applyFont="1"/>
    <xf numFmtId="0" fontId="18" fillId="3" borderId="11" xfId="0" applyFont="1" applyFill="1" applyBorder="1" applyProtection="1">
      <protection hidden="1"/>
    </xf>
    <xf numFmtId="0" fontId="19" fillId="4" borderId="12" xfId="0" applyFont="1" applyFill="1" applyBorder="1" applyAlignment="1" applyProtection="1">
      <alignment horizontal="center"/>
      <protection locked="0"/>
    </xf>
    <xf numFmtId="0" fontId="20" fillId="0" borderId="11" xfId="0" applyFont="1" applyBorder="1" applyProtection="1">
      <protection hidden="1"/>
    </xf>
    <xf numFmtId="0" fontId="21" fillId="0" borderId="13" xfId="0" applyFont="1" applyBorder="1" applyAlignment="1" applyProtection="1">
      <alignment wrapText="1"/>
      <protection hidden="1"/>
    </xf>
    <xf numFmtId="0" fontId="20" fillId="0" borderId="12" xfId="0" applyFont="1" applyBorder="1" applyProtection="1">
      <protection hidden="1"/>
    </xf>
    <xf numFmtId="0" fontId="21" fillId="0" borderId="11" xfId="0" applyFont="1" applyBorder="1" applyAlignment="1" applyProtection="1">
      <alignment horizontal="center" vertical="center" wrapText="1"/>
      <protection hidden="1"/>
    </xf>
    <xf numFmtId="0" fontId="21" fillId="0" borderId="13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20" fillId="0" borderId="0" xfId="0" applyFont="1" applyProtection="1">
      <protection hidden="1"/>
    </xf>
    <xf numFmtId="0" fontId="20" fillId="0" borderId="14" xfId="0" applyFont="1" applyBorder="1" applyAlignment="1" applyProtection="1">
      <alignment horizontal="right"/>
      <protection hidden="1"/>
    </xf>
    <xf numFmtId="0" fontId="19" fillId="4" borderId="14" xfId="0" applyFont="1" applyFill="1" applyBorder="1" applyProtection="1">
      <protection hidden="1"/>
    </xf>
    <xf numFmtId="0" fontId="22" fillId="4" borderId="15" xfId="0" applyFont="1" applyFill="1" applyBorder="1" applyAlignment="1" applyProtection="1">
      <alignment horizontal="right"/>
      <protection locked="0"/>
    </xf>
    <xf numFmtId="0" fontId="23" fillId="0" borderId="16" xfId="0" applyFont="1" applyBorder="1" applyProtection="1">
      <protection hidden="1"/>
    </xf>
    <xf numFmtId="0" fontId="20" fillId="0" borderId="17" xfId="0" applyFont="1" applyBorder="1" applyProtection="1">
      <protection hidden="1"/>
    </xf>
    <xf numFmtId="0" fontId="24" fillId="4" borderId="18" xfId="0" applyFont="1" applyFill="1" applyBorder="1" applyProtection="1">
      <protection locked="0"/>
    </xf>
    <xf numFmtId="0" fontId="23" fillId="0" borderId="19" xfId="0" applyFont="1" applyBorder="1" applyProtection="1">
      <protection hidden="1"/>
    </xf>
    <xf numFmtId="0" fontId="20" fillId="0" borderId="20" xfId="0" applyFont="1" applyBorder="1" applyProtection="1">
      <protection hidden="1"/>
    </xf>
    <xf numFmtId="0" fontId="24" fillId="4" borderId="21" xfId="0" applyFont="1" applyFill="1" applyBorder="1" applyProtection="1">
      <protection locked="0"/>
    </xf>
    <xf numFmtId="0" fontId="23" fillId="0" borderId="0" xfId="0" applyFont="1" applyProtection="1">
      <protection hidden="1"/>
    </xf>
    <xf numFmtId="0" fontId="20" fillId="0" borderId="16" xfId="0" applyFont="1" applyBorder="1" applyAlignment="1" applyProtection="1">
      <alignment horizontal="right"/>
      <protection hidden="1"/>
    </xf>
    <xf numFmtId="0" fontId="20" fillId="2" borderId="18" xfId="0" applyFont="1" applyFill="1" applyBorder="1" applyProtection="1">
      <protection hidden="1"/>
    </xf>
    <xf numFmtId="0" fontId="9" fillId="0" borderId="17" xfId="0" applyFont="1" applyBorder="1" applyProtection="1">
      <protection hidden="1"/>
    </xf>
    <xf numFmtId="0" fontId="7" fillId="0" borderId="17" xfId="0" applyFont="1" applyBorder="1" applyProtection="1">
      <protection hidden="1"/>
    </xf>
    <xf numFmtId="0" fontId="20" fillId="0" borderId="22" xfId="0" applyFont="1" applyBorder="1" applyAlignment="1" applyProtection="1">
      <alignment horizontal="right"/>
      <protection hidden="1"/>
    </xf>
    <xf numFmtId="0" fontId="20" fillId="2" borderId="23" xfId="0" applyFont="1" applyFill="1" applyBorder="1" applyProtection="1">
      <protection hidden="1"/>
    </xf>
    <xf numFmtId="0" fontId="20" fillId="0" borderId="24" xfId="0" applyFont="1" applyBorder="1" applyProtection="1">
      <protection hidden="1"/>
    </xf>
    <xf numFmtId="0" fontId="20" fillId="0" borderId="9" xfId="0" applyFont="1" applyBorder="1" applyProtection="1">
      <protection hidden="1"/>
    </xf>
    <xf numFmtId="0" fontId="20" fillId="0" borderId="25" xfId="0" applyFont="1" applyBorder="1" applyProtection="1">
      <protection hidden="1"/>
    </xf>
    <xf numFmtId="0" fontId="25" fillId="0" borderId="20" xfId="0" applyFont="1" applyBorder="1" applyAlignment="1" applyProtection="1">
      <alignment horizontal="center"/>
      <protection hidden="1"/>
    </xf>
    <xf numFmtId="0" fontId="23" fillId="0" borderId="22" xfId="0" applyFont="1" applyBorder="1" applyAlignment="1" applyProtection="1">
      <alignment horizontal="right"/>
      <protection hidden="1"/>
    </xf>
    <xf numFmtId="0" fontId="20" fillId="2" borderId="16" xfId="0" applyFont="1" applyFill="1" applyBorder="1" applyAlignment="1" applyProtection="1">
      <alignment horizontal="right"/>
      <protection hidden="1"/>
    </xf>
    <xf numFmtId="0" fontId="20" fillId="0" borderId="26" xfId="0" applyFont="1" applyBorder="1" applyAlignment="1" applyProtection="1">
      <alignment horizontal="right"/>
      <protection hidden="1"/>
    </xf>
    <xf numFmtId="0" fontId="20" fillId="0" borderId="27" xfId="0" applyFont="1" applyBorder="1" applyProtection="1">
      <protection hidden="1"/>
    </xf>
    <xf numFmtId="0" fontId="25" fillId="0" borderId="3" xfId="0" applyFont="1" applyBorder="1" applyAlignment="1" applyProtection="1">
      <alignment horizontal="center" vertical="center" wrapText="1"/>
      <protection hidden="1"/>
    </xf>
    <xf numFmtId="0" fontId="25" fillId="0" borderId="28" xfId="0" applyFont="1" applyBorder="1" applyAlignment="1" applyProtection="1">
      <alignment horizontal="center"/>
      <protection hidden="1"/>
    </xf>
    <xf numFmtId="0" fontId="25" fillId="0" borderId="14" xfId="0" applyFont="1" applyBorder="1" applyAlignment="1" applyProtection="1">
      <alignment horizontal="center"/>
      <protection hidden="1"/>
    </xf>
    <xf numFmtId="0" fontId="25" fillId="0" borderId="15" xfId="0" applyFont="1" applyBorder="1" applyAlignment="1" applyProtection="1">
      <alignment horizontal="center"/>
      <protection hidden="1"/>
    </xf>
    <xf numFmtId="0" fontId="23" fillId="0" borderId="29" xfId="0" applyFont="1" applyBorder="1" applyAlignment="1" applyProtection="1">
      <alignment horizontal="right"/>
      <protection hidden="1"/>
    </xf>
    <xf numFmtId="0" fontId="20" fillId="2" borderId="30" xfId="0" applyFont="1" applyFill="1" applyBorder="1" applyProtection="1">
      <protection hidden="1"/>
    </xf>
    <xf numFmtId="0" fontId="20" fillId="2" borderId="22" xfId="0" applyFont="1" applyFill="1" applyBorder="1" applyAlignment="1" applyProtection="1">
      <alignment horizontal="right"/>
      <protection hidden="1"/>
    </xf>
    <xf numFmtId="0" fontId="20" fillId="0" borderId="31" xfId="0" applyFont="1" applyBorder="1" applyAlignment="1" applyProtection="1">
      <alignment horizontal="right"/>
      <protection hidden="1"/>
    </xf>
    <xf numFmtId="0" fontId="20" fillId="0" borderId="2" xfId="0" applyFont="1" applyBorder="1" applyProtection="1">
      <protection hidden="1"/>
    </xf>
    <xf numFmtId="0" fontId="20" fillId="0" borderId="32" xfId="0" applyFont="1" applyBorder="1" applyProtection="1">
      <protection hidden="1"/>
    </xf>
    <xf numFmtId="0" fontId="25" fillId="0" borderId="7" xfId="0" applyFont="1" applyBorder="1" applyAlignment="1" applyProtection="1">
      <alignment horizontal="center" vertical="center" wrapText="1"/>
      <protection hidden="1"/>
    </xf>
    <xf numFmtId="0" fontId="26" fillId="0" borderId="33" xfId="0" applyFont="1" applyBorder="1" applyProtection="1">
      <protection hidden="1"/>
    </xf>
    <xf numFmtId="0" fontId="25" fillId="0" borderId="33" xfId="0" applyFont="1" applyBorder="1" applyProtection="1">
      <protection hidden="1"/>
    </xf>
    <xf numFmtId="0" fontId="25" fillId="0" borderId="8" xfId="0" applyFont="1" applyBorder="1" applyProtection="1">
      <protection hidden="1"/>
    </xf>
    <xf numFmtId="0" fontId="9" fillId="0" borderId="26" xfId="0" applyFont="1" applyBorder="1" applyProtection="1">
      <protection hidden="1"/>
    </xf>
    <xf numFmtId="0" fontId="26" fillId="0" borderId="0" xfId="0" applyFont="1" applyProtection="1">
      <protection hidden="1"/>
    </xf>
    <xf numFmtId="0" fontId="26" fillId="0" borderId="34" xfId="0" applyFont="1" applyBorder="1" applyProtection="1">
      <protection hidden="1"/>
    </xf>
    <xf numFmtId="0" fontId="20" fillId="0" borderId="19" xfId="0" applyFont="1" applyBorder="1" applyAlignment="1" applyProtection="1">
      <alignment horizontal="right"/>
      <protection hidden="1"/>
    </xf>
    <xf numFmtId="0" fontId="20" fillId="2" borderId="21" xfId="0" applyFont="1" applyFill="1" applyBorder="1" applyProtection="1">
      <protection hidden="1"/>
    </xf>
    <xf numFmtId="0" fontId="20" fillId="2" borderId="19" xfId="0" applyFont="1" applyFill="1" applyBorder="1" applyAlignment="1" applyProtection="1">
      <alignment horizontal="right"/>
      <protection hidden="1"/>
    </xf>
    <xf numFmtId="0" fontId="20" fillId="0" borderId="0" xfId="0" applyFont="1" applyAlignment="1" applyProtection="1">
      <alignment horizontal="right"/>
      <protection hidden="1"/>
    </xf>
    <xf numFmtId="0" fontId="25" fillId="0" borderId="35" xfId="0" applyFont="1" applyBorder="1" applyProtection="1">
      <protection hidden="1"/>
    </xf>
    <xf numFmtId="0" fontId="7" fillId="0" borderId="36" xfId="0" applyFont="1" applyBorder="1" applyProtection="1">
      <protection hidden="1"/>
    </xf>
    <xf numFmtId="0" fontId="7" fillId="0" borderId="37" xfId="0" applyFont="1" applyBorder="1" applyProtection="1">
      <protection hidden="1"/>
    </xf>
    <xf numFmtId="0" fontId="7" fillId="0" borderId="26" xfId="0" applyFont="1" applyBorder="1" applyProtection="1">
      <protection hidden="1"/>
    </xf>
    <xf numFmtId="0" fontId="7" fillId="0" borderId="38" xfId="0" applyFont="1" applyBorder="1" applyProtection="1">
      <protection hidden="1"/>
    </xf>
    <xf numFmtId="0" fontId="25" fillId="0" borderId="5" xfId="0" applyFont="1" applyBorder="1" applyProtection="1">
      <protection hidden="1"/>
    </xf>
    <xf numFmtId="0" fontId="7" fillId="0" borderId="10" xfId="0" applyFont="1" applyBorder="1" applyProtection="1">
      <protection hidden="1"/>
    </xf>
    <xf numFmtId="0" fontId="20" fillId="0" borderId="39" xfId="0" applyFont="1" applyBorder="1" applyAlignment="1" applyProtection="1">
      <alignment horizontal="center"/>
      <protection hidden="1"/>
    </xf>
    <xf numFmtId="0" fontId="20" fillId="0" borderId="40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"/>
      <protection hidden="1"/>
    </xf>
    <xf numFmtId="0" fontId="20" fillId="0" borderId="41" xfId="0" applyFont="1" applyBorder="1" applyAlignment="1" applyProtection="1">
      <alignment horizontal="center"/>
      <protection hidden="1"/>
    </xf>
    <xf numFmtId="169" fontId="20" fillId="0" borderId="42" xfId="0" applyNumberFormat="1" applyFont="1" applyBorder="1" applyAlignment="1" applyProtection="1">
      <alignment horizontal="center"/>
      <protection hidden="1"/>
    </xf>
    <xf numFmtId="0" fontId="7" fillId="0" borderId="42" xfId="0" applyFont="1" applyBorder="1" applyProtection="1">
      <protection hidden="1"/>
    </xf>
    <xf numFmtId="0" fontId="20" fillId="0" borderId="43" xfId="0" applyFont="1" applyBorder="1" applyAlignment="1" applyProtection="1">
      <alignment horizontal="center"/>
      <protection hidden="1"/>
    </xf>
    <xf numFmtId="169" fontId="20" fillId="0" borderId="44" xfId="0" applyNumberFormat="1" applyFont="1" applyBorder="1" applyAlignment="1" applyProtection="1">
      <alignment horizontal="center"/>
      <protection hidden="1"/>
    </xf>
    <xf numFmtId="0" fontId="7" fillId="0" borderId="44" xfId="0" applyFont="1" applyBorder="1" applyProtection="1">
      <protection hidden="1"/>
    </xf>
    <xf numFmtId="0" fontId="25" fillId="0" borderId="7" xfId="0" applyFont="1" applyBorder="1" applyProtection="1">
      <protection hidden="1"/>
    </xf>
    <xf numFmtId="0" fontId="13" fillId="0" borderId="33" xfId="0" applyFont="1" applyBorder="1" applyProtection="1">
      <protection hidden="1"/>
    </xf>
    <xf numFmtId="0" fontId="13" fillId="0" borderId="8" xfId="0" applyFont="1" applyBorder="1" applyProtection="1">
      <protection hidden="1"/>
    </xf>
    <xf numFmtId="0" fontId="7" fillId="0" borderId="45" xfId="0" applyFont="1" applyBorder="1" applyProtection="1">
      <protection hidden="1"/>
    </xf>
    <xf numFmtId="0" fontId="28" fillId="0" borderId="0" xfId="0" applyFont="1" applyProtection="1">
      <protection hidden="1"/>
    </xf>
    <xf numFmtId="0" fontId="29" fillId="0" borderId="11" xfId="0" applyFont="1" applyBorder="1" applyAlignment="1" applyProtection="1">
      <alignment vertical="top"/>
      <protection hidden="1"/>
    </xf>
    <xf numFmtId="0" fontId="29" fillId="0" borderId="13" xfId="0" applyFont="1" applyBorder="1" applyAlignment="1" applyProtection="1">
      <alignment vertical="top" wrapText="1"/>
      <protection hidden="1"/>
    </xf>
    <xf numFmtId="0" fontId="30" fillId="0" borderId="13" xfId="0" applyFont="1" applyBorder="1" applyProtection="1">
      <protection hidden="1"/>
    </xf>
    <xf numFmtId="0" fontId="30" fillId="0" borderId="12" xfId="0" applyFont="1" applyBorder="1" applyProtection="1">
      <protection hidden="1"/>
    </xf>
    <xf numFmtId="0" fontId="31" fillId="0" borderId="39" xfId="0" applyFont="1" applyBorder="1" applyProtection="1">
      <protection hidden="1"/>
    </xf>
    <xf numFmtId="0" fontId="31" fillId="0" borderId="46" xfId="0" applyFont="1" applyBorder="1" applyAlignment="1" applyProtection="1">
      <alignment horizontal="center"/>
      <protection hidden="1"/>
    </xf>
    <xf numFmtId="0" fontId="31" fillId="0" borderId="12" xfId="0" applyFont="1" applyBorder="1" applyAlignment="1" applyProtection="1">
      <alignment horizontal="center"/>
      <protection hidden="1"/>
    </xf>
    <xf numFmtId="0" fontId="7" fillId="0" borderId="34" xfId="0" applyFont="1" applyBorder="1" applyAlignment="1" applyProtection="1">
      <alignment horizontal="right"/>
      <protection hidden="1"/>
    </xf>
    <xf numFmtId="0" fontId="33" fillId="0" borderId="47" xfId="0" applyFont="1" applyBorder="1" applyAlignment="1" applyProtection="1">
      <alignment horizontal="right" vertical="top" wrapText="1"/>
      <protection hidden="1"/>
    </xf>
    <xf numFmtId="0" fontId="33" fillId="0" borderId="48" xfId="0" applyFont="1" applyBorder="1" applyAlignment="1" applyProtection="1">
      <alignment horizontal="right" vertical="top" wrapText="1"/>
      <protection hidden="1"/>
    </xf>
    <xf numFmtId="0" fontId="33" fillId="0" borderId="18" xfId="0" applyFont="1" applyBorder="1" applyAlignment="1" applyProtection="1">
      <alignment horizontal="right" vertical="top" wrapText="1"/>
      <protection hidden="1"/>
    </xf>
    <xf numFmtId="0" fontId="7" fillId="0" borderId="45" xfId="0" applyFont="1" applyBorder="1" applyAlignment="1" applyProtection="1">
      <alignment horizontal="right"/>
      <protection hidden="1"/>
    </xf>
    <xf numFmtId="0" fontId="33" fillId="0" borderId="49" xfId="0" applyFont="1" applyBorder="1" applyAlignment="1" applyProtection="1">
      <alignment horizontal="right" vertical="top" wrapText="1"/>
      <protection hidden="1"/>
    </xf>
    <xf numFmtId="0" fontId="33" fillId="0" borderId="50" xfId="0" applyFont="1" applyBorder="1" applyAlignment="1" applyProtection="1">
      <alignment horizontal="right" vertical="top" wrapText="1"/>
      <protection hidden="1"/>
    </xf>
    <xf numFmtId="0" fontId="33" fillId="0" borderId="21" xfId="0" applyFont="1" applyBorder="1" applyAlignment="1" applyProtection="1">
      <alignment horizontal="right" vertical="top" wrapText="1"/>
      <protection hidden="1"/>
    </xf>
    <xf numFmtId="0" fontId="34" fillId="0" borderId="47" xfId="0" applyFont="1" applyBorder="1" applyAlignment="1" applyProtection="1">
      <alignment horizontal="right" vertical="top" wrapText="1"/>
      <protection hidden="1"/>
    </xf>
    <xf numFmtId="0" fontId="7" fillId="0" borderId="38" xfId="0" applyFont="1" applyBorder="1" applyAlignment="1" applyProtection="1">
      <alignment horizontal="right"/>
      <protection hidden="1"/>
    </xf>
    <xf numFmtId="0" fontId="34" fillId="0" borderId="51" xfId="0" applyFont="1" applyBorder="1" applyAlignment="1" applyProtection="1">
      <alignment horizontal="right" vertical="top" wrapText="1"/>
      <protection hidden="1"/>
    </xf>
    <xf numFmtId="0" fontId="33" fillId="0" borderId="52" xfId="0" applyFont="1" applyBorder="1" applyAlignment="1" applyProtection="1">
      <alignment horizontal="right" vertical="top" wrapText="1"/>
      <protection hidden="1"/>
    </xf>
    <xf numFmtId="0" fontId="33" fillId="0" borderId="23" xfId="0" applyFont="1" applyBorder="1" applyAlignment="1" applyProtection="1">
      <alignment horizontal="right" vertical="top" wrapText="1"/>
      <protection hidden="1"/>
    </xf>
    <xf numFmtId="0" fontId="34" fillId="0" borderId="49" xfId="0" applyFont="1" applyBorder="1" applyAlignment="1" applyProtection="1">
      <alignment horizontal="right" vertical="top" wrapText="1"/>
      <protection hidden="1"/>
    </xf>
    <xf numFmtId="0" fontId="23" fillId="0" borderId="11" xfId="0" applyFont="1" applyBorder="1" applyProtection="1">
      <protection hidden="1"/>
    </xf>
    <xf numFmtId="0" fontId="20" fillId="0" borderId="13" xfId="0" applyFont="1" applyBorder="1" applyProtection="1">
      <protection hidden="1"/>
    </xf>
    <xf numFmtId="0" fontId="23" fillId="0" borderId="16" xfId="0" applyFont="1" applyBorder="1" applyAlignment="1" applyProtection="1">
      <alignment horizontal="right"/>
      <protection hidden="1"/>
    </xf>
    <xf numFmtId="0" fontId="23" fillId="0" borderId="19" xfId="0" applyFont="1" applyBorder="1" applyAlignment="1" applyProtection="1">
      <alignment horizontal="right"/>
      <protection hidden="1"/>
    </xf>
    <xf numFmtId="0" fontId="21" fillId="0" borderId="11" xfId="0" applyFont="1" applyBorder="1" applyAlignment="1" applyProtection="1">
      <alignment horizontal="center" wrapText="1"/>
      <protection hidden="1"/>
    </xf>
    <xf numFmtId="0" fontId="21" fillId="0" borderId="13" xfId="0" applyFont="1" applyBorder="1" applyAlignment="1" applyProtection="1">
      <alignment horizontal="center" wrapText="1"/>
      <protection hidden="1"/>
    </xf>
    <xf numFmtId="0" fontId="21" fillId="0" borderId="12" xfId="0" applyFont="1" applyBorder="1" applyAlignment="1" applyProtection="1">
      <alignment horizontal="center" wrapText="1"/>
      <protection hidden="1"/>
    </xf>
    <xf numFmtId="0" fontId="20" fillId="0" borderId="16" xfId="0" applyFont="1" applyBorder="1" applyProtection="1">
      <protection hidden="1"/>
    </xf>
    <xf numFmtId="0" fontId="20" fillId="0" borderId="14" xfId="0" applyFont="1" applyBorder="1" applyProtection="1">
      <protection hidden="1"/>
    </xf>
    <xf numFmtId="0" fontId="19" fillId="4" borderId="15" xfId="0" applyFont="1" applyFill="1" applyBorder="1" applyAlignment="1" applyProtection="1">
      <alignment horizontal="right"/>
      <protection locked="0"/>
    </xf>
    <xf numFmtId="0" fontId="20" fillId="0" borderId="23" xfId="0" applyFont="1" applyBorder="1" applyProtection="1">
      <protection hidden="1"/>
    </xf>
    <xf numFmtId="0" fontId="35" fillId="0" borderId="22" xfId="0" applyFont="1" applyBorder="1" applyAlignment="1" applyProtection="1">
      <alignment horizontal="center"/>
      <protection hidden="1"/>
    </xf>
    <xf numFmtId="169" fontId="35" fillId="0" borderId="0" xfId="0" applyNumberFormat="1" applyFont="1" applyAlignment="1" applyProtection="1">
      <alignment horizontal="center"/>
      <protection hidden="1"/>
    </xf>
    <xf numFmtId="0" fontId="35" fillId="0" borderId="0" xfId="0" applyFont="1" applyProtection="1">
      <protection hidden="1"/>
    </xf>
    <xf numFmtId="0" fontId="35" fillId="0" borderId="23" xfId="0" applyFont="1" applyBorder="1" applyProtection="1">
      <protection hidden="1"/>
    </xf>
    <xf numFmtId="0" fontId="36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20" fillId="0" borderId="22" xfId="0" applyFont="1" applyBorder="1" applyProtection="1">
      <protection hidden="1"/>
    </xf>
    <xf numFmtId="0" fontId="37" fillId="0" borderId="20" xfId="0" applyFont="1" applyBorder="1" applyAlignment="1" applyProtection="1">
      <alignment horizontal="center"/>
      <protection hidden="1"/>
    </xf>
    <xf numFmtId="0" fontId="20" fillId="2" borderId="16" xfId="0" applyFont="1" applyFill="1" applyBorder="1" applyProtection="1">
      <protection hidden="1"/>
    </xf>
    <xf numFmtId="0" fontId="38" fillId="0" borderId="53" xfId="0" applyFont="1" applyBorder="1" applyAlignment="1" applyProtection="1">
      <alignment horizontal="right" vertical="top" wrapText="1"/>
      <protection hidden="1"/>
    </xf>
    <xf numFmtId="0" fontId="39" fillId="0" borderId="12" xfId="0" applyFont="1" applyBorder="1" applyAlignment="1" applyProtection="1">
      <alignment horizontal="center" vertical="top" wrapText="1"/>
      <protection hidden="1"/>
    </xf>
    <xf numFmtId="0" fontId="20" fillId="2" borderId="22" xfId="0" applyFont="1" applyFill="1" applyBorder="1" applyProtection="1">
      <protection hidden="1"/>
    </xf>
    <xf numFmtId="0" fontId="39" fillId="0" borderId="54" xfId="0" applyFont="1" applyBorder="1" applyAlignment="1" applyProtection="1">
      <alignment vertical="top" wrapText="1"/>
      <protection hidden="1"/>
    </xf>
    <xf numFmtId="0" fontId="38" fillId="0" borderId="55" xfId="0" applyFont="1" applyBorder="1" applyAlignment="1" applyProtection="1">
      <alignment horizontal="right" vertical="top" wrapText="1"/>
      <protection hidden="1"/>
    </xf>
    <xf numFmtId="0" fontId="38" fillId="0" borderId="56" xfId="0" applyFont="1" applyBorder="1" applyAlignment="1" applyProtection="1">
      <alignment horizontal="right" vertical="top" wrapText="1"/>
      <protection hidden="1"/>
    </xf>
    <xf numFmtId="0" fontId="38" fillId="0" borderId="57" xfId="0" applyFont="1" applyBorder="1" applyAlignment="1" applyProtection="1">
      <alignment horizontal="right" vertical="top" wrapText="1"/>
      <protection hidden="1"/>
    </xf>
    <xf numFmtId="0" fontId="20" fillId="2" borderId="19" xfId="0" applyFont="1" applyFill="1" applyBorder="1" applyProtection="1">
      <protection hidden="1"/>
    </xf>
    <xf numFmtId="0" fontId="39" fillId="0" borderId="58" xfId="0" applyFont="1" applyBorder="1" applyAlignment="1" applyProtection="1">
      <alignment vertical="top" wrapText="1"/>
      <protection hidden="1"/>
    </xf>
    <xf numFmtId="0" fontId="38" fillId="0" borderId="59" xfId="0" applyFont="1" applyBorder="1" applyAlignment="1" applyProtection="1">
      <alignment horizontal="right" vertical="top" wrapText="1"/>
      <protection hidden="1"/>
    </xf>
    <xf numFmtId="0" fontId="38" fillId="0" borderId="60" xfId="0" applyFont="1" applyBorder="1" applyAlignment="1" applyProtection="1">
      <alignment horizontal="right" vertical="top" wrapText="1"/>
      <protection hidden="1"/>
    </xf>
    <xf numFmtId="0" fontId="38" fillId="0" borderId="61" xfId="0" applyFont="1" applyBorder="1" applyAlignment="1" applyProtection="1">
      <alignment horizontal="right" vertical="top" wrapText="1"/>
      <protection hidden="1"/>
    </xf>
    <xf numFmtId="0" fontId="20" fillId="0" borderId="42" xfId="0" applyFont="1" applyBorder="1" applyProtection="1">
      <protection hidden="1"/>
    </xf>
    <xf numFmtId="0" fontId="39" fillId="0" borderId="62" xfId="0" applyFont="1" applyBorder="1" applyAlignment="1" applyProtection="1">
      <alignment vertical="top" wrapText="1"/>
      <protection hidden="1"/>
    </xf>
    <xf numFmtId="0" fontId="38" fillId="0" borderId="63" xfId="0" applyFont="1" applyBorder="1" applyAlignment="1" applyProtection="1">
      <alignment horizontal="right" vertical="top" wrapText="1"/>
      <protection hidden="1"/>
    </xf>
    <xf numFmtId="0" fontId="38" fillId="0" borderId="64" xfId="0" applyFont="1" applyBorder="1" applyAlignment="1" applyProtection="1">
      <alignment horizontal="right" vertical="top" wrapText="1"/>
      <protection hidden="1"/>
    </xf>
    <xf numFmtId="0" fontId="38" fillId="0" borderId="65" xfId="0" applyFont="1" applyBorder="1" applyAlignment="1" applyProtection="1">
      <alignment horizontal="right" vertical="top" wrapText="1"/>
      <protection hidden="1"/>
    </xf>
    <xf numFmtId="0" fontId="20" fillId="0" borderId="44" xfId="0" applyFont="1" applyBorder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0" fontId="39" fillId="0" borderId="13" xfId="0" applyFont="1" applyBorder="1" applyAlignment="1" applyProtection="1">
      <alignment horizontal="center" vertical="top" wrapText="1"/>
      <protection hidden="1"/>
    </xf>
    <xf numFmtId="0" fontId="7" fillId="0" borderId="55" xfId="0" applyFont="1" applyBorder="1" applyProtection="1">
      <protection hidden="1"/>
    </xf>
    <xf numFmtId="0" fontId="7" fillId="0" borderId="56" xfId="0" applyFont="1" applyBorder="1" applyProtection="1">
      <protection hidden="1"/>
    </xf>
    <xf numFmtId="0" fontId="7" fillId="0" borderId="57" xfId="0" applyFont="1" applyBorder="1" applyProtection="1">
      <protection hidden="1"/>
    </xf>
    <xf numFmtId="0" fontId="7" fillId="0" borderId="59" xfId="0" applyFont="1" applyBorder="1" applyProtection="1">
      <protection hidden="1"/>
    </xf>
    <xf numFmtId="0" fontId="7" fillId="0" borderId="60" xfId="0" applyFont="1" applyBorder="1" applyProtection="1">
      <protection hidden="1"/>
    </xf>
    <xf numFmtId="0" fontId="7" fillId="0" borderId="61" xfId="0" applyFont="1" applyBorder="1" applyProtection="1">
      <protection hidden="1"/>
    </xf>
    <xf numFmtId="0" fontId="7" fillId="0" borderId="63" xfId="0" applyFont="1" applyBorder="1" applyProtection="1">
      <protection hidden="1"/>
    </xf>
    <xf numFmtId="0" fontId="7" fillId="0" borderId="64" xfId="0" applyFont="1" applyBorder="1" applyProtection="1">
      <protection hidden="1"/>
    </xf>
    <xf numFmtId="0" fontId="7" fillId="0" borderId="65" xfId="0" applyFont="1" applyBorder="1" applyProtection="1">
      <protection hidden="1"/>
    </xf>
    <xf numFmtId="0" fontId="20" fillId="0" borderId="66" xfId="0" applyFont="1" applyBorder="1" applyAlignment="1" applyProtection="1">
      <alignment horizontal="center"/>
      <protection hidden="1"/>
    </xf>
    <xf numFmtId="0" fontId="20" fillId="0" borderId="67" xfId="0" applyFont="1" applyBorder="1" applyProtection="1">
      <protection hidden="1"/>
    </xf>
    <xf numFmtId="0" fontId="7" fillId="0" borderId="67" xfId="0" applyFont="1" applyBorder="1" applyProtection="1">
      <protection hidden="1"/>
    </xf>
    <xf numFmtId="0" fontId="20" fillId="0" borderId="21" xfId="0" applyFont="1" applyBorder="1" applyProtection="1">
      <protection hidden="1"/>
    </xf>
    <xf numFmtId="0" fontId="40" fillId="0" borderId="0" xfId="0" applyFont="1" applyAlignment="1" applyProtection="1">
      <alignment horizontal="center" wrapText="1"/>
      <protection hidden="1"/>
    </xf>
    <xf numFmtId="0" fontId="41" fillId="0" borderId="0" xfId="0" applyFont="1" applyProtection="1">
      <protection hidden="1"/>
    </xf>
    <xf numFmtId="0" fontId="41" fillId="0" borderId="0" xfId="0" applyFont="1" applyAlignment="1" applyProtection="1">
      <alignment wrapText="1"/>
      <protection hidden="1"/>
    </xf>
    <xf numFmtId="0" fontId="7" fillId="0" borderId="2" xfId="0" applyFont="1" applyBorder="1" applyProtection="1">
      <protection hidden="1"/>
    </xf>
    <xf numFmtId="0" fontId="42" fillId="5" borderId="2" xfId="0" applyFont="1" applyFill="1" applyBorder="1" applyProtection="1">
      <protection hidden="1"/>
    </xf>
    <xf numFmtId="0" fontId="42" fillId="5" borderId="2" xfId="0" applyFont="1" applyFill="1" applyBorder="1" applyAlignment="1" applyProtection="1">
      <alignment horizontal="right"/>
      <protection locked="0"/>
    </xf>
    <xf numFmtId="0" fontId="9" fillId="0" borderId="11" xfId="0" applyFont="1" applyBorder="1" applyProtection="1">
      <protection hidden="1"/>
    </xf>
    <xf numFmtId="0" fontId="7" fillId="0" borderId="13" xfId="0" applyFont="1" applyBorder="1" applyProtection="1">
      <protection hidden="1"/>
    </xf>
    <xf numFmtId="0" fontId="24" fillId="4" borderId="12" xfId="0" applyFont="1" applyFill="1" applyBorder="1" applyProtection="1">
      <protection locked="0"/>
    </xf>
    <xf numFmtId="0" fontId="43" fillId="0" borderId="53" xfId="0" applyFont="1" applyBorder="1" applyAlignment="1">
      <alignment vertical="top"/>
    </xf>
    <xf numFmtId="0" fontId="44" fillId="0" borderId="12" xfId="0" applyFont="1" applyBorder="1" applyAlignment="1">
      <alignment vertical="top" wrapText="1"/>
    </xf>
    <xf numFmtId="0" fontId="36" fillId="0" borderId="0" xfId="0" applyFont="1" applyAlignment="1" applyProtection="1">
      <alignment horizontal="center"/>
      <protection hidden="1"/>
    </xf>
    <xf numFmtId="169" fontId="36" fillId="0" borderId="0" xfId="0" applyNumberFormat="1" applyFont="1" applyAlignment="1" applyProtection="1">
      <alignment horizontal="center"/>
      <protection hidden="1"/>
    </xf>
    <xf numFmtId="0" fontId="45" fillId="0" borderId="0" xfId="0" applyFont="1" applyProtection="1">
      <protection hidden="1"/>
    </xf>
    <xf numFmtId="0" fontId="43" fillId="0" borderId="45" xfId="0" applyFont="1" applyBorder="1" applyAlignment="1">
      <alignment vertical="top"/>
    </xf>
    <xf numFmtId="0" fontId="44" fillId="0" borderId="21" xfId="0" applyFont="1" applyBorder="1" applyAlignment="1">
      <alignment vertical="top" wrapText="1"/>
    </xf>
    <xf numFmtId="0" fontId="46" fillId="0" borderId="12" xfId="0" applyFont="1" applyBorder="1" applyAlignment="1" applyProtection="1">
      <alignment horizontal="center"/>
      <protection locked="0"/>
    </xf>
    <xf numFmtId="0" fontId="47" fillId="0" borderId="11" xfId="0" applyFont="1" applyBorder="1" applyAlignment="1" applyProtection="1">
      <alignment horizontal="center"/>
      <protection hidden="1"/>
    </xf>
    <xf numFmtId="0" fontId="47" fillId="0" borderId="13" xfId="0" applyFont="1" applyBorder="1" applyAlignment="1" applyProtection="1">
      <alignment horizontal="center"/>
      <protection hidden="1"/>
    </xf>
    <xf numFmtId="0" fontId="47" fillId="0" borderId="12" xfId="0" applyFont="1" applyBorder="1" applyAlignment="1" applyProtection="1">
      <alignment horizontal="center"/>
      <protection hidden="1"/>
    </xf>
    <xf numFmtId="0" fontId="37" fillId="0" borderId="34" xfId="0" applyFont="1" applyBorder="1" applyAlignment="1" applyProtection="1">
      <alignment horizontal="center" textRotation="90" wrapText="1"/>
      <protection hidden="1"/>
    </xf>
    <xf numFmtId="0" fontId="37" fillId="0" borderId="38" xfId="0" applyFont="1" applyBorder="1" applyAlignment="1" applyProtection="1">
      <alignment horizontal="center" textRotation="90" wrapText="1"/>
      <protection hidden="1"/>
    </xf>
    <xf numFmtId="0" fontId="7" fillId="6" borderId="16" xfId="0" applyFont="1" applyFill="1" applyBorder="1" applyProtection="1">
      <protection hidden="1"/>
    </xf>
    <xf numFmtId="0" fontId="7" fillId="6" borderId="18" xfId="0" applyFont="1" applyFill="1" applyBorder="1" applyProtection="1">
      <protection hidden="1"/>
    </xf>
    <xf numFmtId="0" fontId="7" fillId="6" borderId="22" xfId="0" applyFont="1" applyFill="1" applyBorder="1" applyProtection="1">
      <protection hidden="1"/>
    </xf>
    <xf numFmtId="0" fontId="7" fillId="6" borderId="23" xfId="0" applyFont="1" applyFill="1" applyBorder="1" applyProtection="1">
      <protection hidden="1"/>
    </xf>
    <xf numFmtId="0" fontId="7" fillId="6" borderId="19" xfId="0" applyFont="1" applyFill="1" applyBorder="1" applyProtection="1">
      <protection hidden="1"/>
    </xf>
    <xf numFmtId="0" fontId="7" fillId="6" borderId="21" xfId="0" applyFont="1" applyFill="1" applyBorder="1" applyProtection="1">
      <protection hidden="1"/>
    </xf>
    <xf numFmtId="0" fontId="7" fillId="0" borderId="19" xfId="0" applyFont="1" applyBorder="1" applyAlignment="1" applyProtection="1">
      <alignment horizontal="right"/>
      <protection hidden="1"/>
    </xf>
    <xf numFmtId="0" fontId="7" fillId="7" borderId="21" xfId="0" applyFont="1" applyFill="1" applyBorder="1" applyProtection="1">
      <protection hidden="1"/>
    </xf>
    <xf numFmtId="0" fontId="37" fillId="0" borderId="45" xfId="0" applyFont="1" applyBorder="1" applyAlignment="1" applyProtection="1">
      <alignment horizontal="center" textRotation="90" wrapText="1"/>
      <protection hidden="1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7" fillId="0" borderId="41" xfId="0" applyFont="1" applyBorder="1" applyAlignment="1" applyProtection="1">
      <alignment horizontal="center"/>
      <protection hidden="1"/>
    </xf>
    <xf numFmtId="0" fontId="7" fillId="0" borderId="41" xfId="0" applyFont="1" applyBorder="1" applyProtection="1">
      <protection hidden="1"/>
    </xf>
    <xf numFmtId="0" fontId="0" fillId="0" borderId="68" xfId="0" applyBorder="1"/>
    <xf numFmtId="0" fontId="7" fillId="0" borderId="43" xfId="0" applyFont="1" applyBorder="1" applyAlignment="1" applyProtection="1">
      <alignment horizontal="center"/>
      <protection hidden="1"/>
    </xf>
    <xf numFmtId="0" fontId="7" fillId="0" borderId="43" xfId="0" applyFont="1" applyBorder="1" applyProtection="1">
      <protection hidden="1"/>
    </xf>
    <xf numFmtId="0" fontId="7" fillId="0" borderId="69" xfId="0" applyFont="1" applyBorder="1" applyProtection="1">
      <protection hidden="1"/>
    </xf>
    <xf numFmtId="0" fontId="39" fillId="0" borderId="0" xfId="0" applyFont="1" applyAlignment="1" applyProtection="1">
      <alignment vertical="top" wrapText="1"/>
      <protection hidden="1"/>
    </xf>
    <xf numFmtId="0" fontId="7" fillId="0" borderId="66" xfId="0" applyFont="1" applyBorder="1" applyAlignment="1" applyProtection="1">
      <alignment horizontal="center"/>
      <protection hidden="1"/>
    </xf>
    <xf numFmtId="0" fontId="7" fillId="0" borderId="66" xfId="0" applyFont="1" applyBorder="1" applyProtection="1">
      <protection hidden="1"/>
    </xf>
    <xf numFmtId="0" fontId="7" fillId="0" borderId="70" xfId="0" applyFont="1" applyBorder="1" applyProtection="1">
      <protection hidden="1"/>
    </xf>
    <xf numFmtId="0" fontId="7" fillId="0" borderId="11" xfId="0" applyFont="1" applyBorder="1" applyProtection="1">
      <protection hidden="1"/>
    </xf>
    <xf numFmtId="0" fontId="41" fillId="0" borderId="13" xfId="0" applyFont="1" applyBorder="1" applyAlignment="1" applyProtection="1">
      <alignment wrapText="1"/>
      <protection hidden="1"/>
    </xf>
    <xf numFmtId="0" fontId="7" fillId="0" borderId="12" xfId="0" applyFont="1" applyBorder="1" applyProtection="1">
      <protection hidden="1"/>
    </xf>
    <xf numFmtId="0" fontId="23" fillId="0" borderId="22" xfId="0" applyFont="1" applyBorder="1" applyProtection="1">
      <protection hidden="1"/>
    </xf>
    <xf numFmtId="0" fontId="7" fillId="0" borderId="3" xfId="0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33" fillId="0" borderId="0" xfId="0" applyFont="1" applyAlignment="1" applyProtection="1">
      <alignment horizontal="right" vertical="top" wrapText="1"/>
      <protection hidden="1"/>
    </xf>
    <xf numFmtId="0" fontId="48" fillId="0" borderId="71" xfId="0" applyFont="1" applyBorder="1" applyAlignment="1">
      <alignment horizontal="center" vertical="center" wrapText="1"/>
    </xf>
    <xf numFmtId="0" fontId="48" fillId="0" borderId="72" xfId="0" applyFont="1" applyBorder="1" applyAlignment="1">
      <alignment horizontal="center" vertical="center" wrapText="1"/>
    </xf>
    <xf numFmtId="0" fontId="48" fillId="0" borderId="73" xfId="0" applyFont="1" applyBorder="1" applyAlignment="1">
      <alignment horizontal="center" vertical="center" wrapText="1"/>
    </xf>
    <xf numFmtId="0" fontId="49" fillId="0" borderId="74" xfId="0" applyFont="1" applyBorder="1" applyAlignment="1">
      <alignment horizontal="center" vertical="center" wrapText="1"/>
    </xf>
    <xf numFmtId="0" fontId="48" fillId="0" borderId="74" xfId="0" applyFont="1" applyBorder="1" applyAlignment="1">
      <alignment horizontal="center" vertical="center" wrapText="1"/>
    </xf>
    <xf numFmtId="0" fontId="49" fillId="0" borderId="75" xfId="0" applyFont="1" applyBorder="1" applyAlignment="1">
      <alignment horizontal="center" vertical="center" wrapText="1"/>
    </xf>
    <xf numFmtId="0" fontId="51" fillId="0" borderId="0" xfId="0" applyFont="1"/>
    <xf numFmtId="0" fontId="52" fillId="0" borderId="76" xfId="0" applyFont="1" applyBorder="1" applyAlignment="1">
      <alignment horizontal="left" vertical="top" wrapText="1"/>
    </xf>
    <xf numFmtId="0" fontId="52" fillId="0" borderId="77" xfId="0" applyFont="1" applyBorder="1" applyAlignment="1">
      <alignment horizontal="left" vertical="top" wrapText="1"/>
    </xf>
    <xf numFmtId="0" fontId="53" fillId="0" borderId="77" xfId="0" applyFont="1" applyBorder="1" applyAlignment="1">
      <alignment horizontal="left" vertical="top" wrapText="1"/>
    </xf>
    <xf numFmtId="0" fontId="52" fillId="0" borderId="78" xfId="0" applyFont="1" applyBorder="1" applyAlignment="1">
      <alignment horizontal="left" vertical="top" wrapText="1"/>
    </xf>
    <xf numFmtId="0" fontId="52" fillId="0" borderId="79" xfId="0" applyFont="1" applyBorder="1" applyAlignment="1">
      <alignment horizontal="left" vertical="top" wrapText="1"/>
    </xf>
    <xf numFmtId="0" fontId="52" fillId="0" borderId="80" xfId="0" applyFont="1" applyBorder="1" applyAlignment="1">
      <alignment horizontal="left" vertical="top" wrapText="1"/>
    </xf>
    <xf numFmtId="0" fontId="51" fillId="0" borderId="10" xfId="0" applyFont="1" applyBorder="1"/>
    <xf numFmtId="0" fontId="48" fillId="0" borderId="81" xfId="0" applyFont="1" applyBorder="1" applyAlignment="1">
      <alignment horizontal="left" vertical="top" wrapText="1"/>
    </xf>
    <xf numFmtId="0" fontId="48" fillId="0" borderId="82" xfId="0" applyFont="1" applyBorder="1" applyAlignment="1">
      <alignment horizontal="left" vertical="top" wrapText="1"/>
    </xf>
    <xf numFmtId="0" fontId="53" fillId="0" borderId="82" xfId="0" applyFont="1" applyBorder="1" applyAlignment="1">
      <alignment horizontal="left" vertical="top" wrapText="1"/>
    </xf>
    <xf numFmtId="0" fontId="53" fillId="0" borderId="83" xfId="0" applyFont="1" applyBorder="1" applyAlignment="1">
      <alignment horizontal="left" vertical="top" wrapText="1"/>
    </xf>
    <xf numFmtId="0" fontId="53" fillId="0" borderId="84" xfId="0" applyFont="1" applyBorder="1" applyAlignment="1">
      <alignment horizontal="left" vertical="top" wrapText="1"/>
    </xf>
    <xf numFmtId="0" fontId="53" fillId="0" borderId="85" xfId="0" applyFont="1" applyBorder="1" applyAlignment="1">
      <alignment horizontal="left" vertical="top" wrapText="1"/>
    </xf>
    <xf numFmtId="0" fontId="53" fillId="0" borderId="86" xfId="0" applyFont="1" applyBorder="1" applyAlignment="1">
      <alignment horizontal="left" vertical="top" wrapText="1"/>
    </xf>
    <xf numFmtId="0" fontId="53" fillId="0" borderId="87" xfId="0" applyFont="1" applyBorder="1" applyAlignment="1">
      <alignment horizontal="left" vertical="top" wrapText="1"/>
    </xf>
    <xf numFmtId="0" fontId="53" fillId="0" borderId="88" xfId="0" applyFont="1" applyBorder="1" applyAlignment="1">
      <alignment horizontal="left" vertical="top" wrapText="1"/>
    </xf>
    <xf numFmtId="0" fontId="53" fillId="0" borderId="89" xfId="0" applyFont="1" applyBorder="1" applyAlignment="1">
      <alignment horizontal="left" vertical="top" wrapText="1"/>
    </xf>
    <xf numFmtId="0" fontId="53" fillId="0" borderId="90" xfId="0" applyFont="1" applyBorder="1" applyAlignment="1">
      <alignment horizontal="left" vertical="top" wrapText="1"/>
    </xf>
    <xf numFmtId="0" fontId="53" fillId="0" borderId="91" xfId="0" applyFont="1" applyBorder="1" applyAlignment="1">
      <alignment horizontal="left" vertical="top" wrapText="1"/>
    </xf>
    <xf numFmtId="0" fontId="53" fillId="0" borderId="92" xfId="0" applyFont="1" applyBorder="1" applyAlignment="1">
      <alignment horizontal="left" vertical="top" wrapText="1"/>
    </xf>
    <xf numFmtId="0" fontId="53" fillId="0" borderId="93" xfId="0" applyFont="1" applyBorder="1" applyAlignment="1">
      <alignment horizontal="left" vertical="top" wrapText="1"/>
    </xf>
    <xf numFmtId="0" fontId="53" fillId="0" borderId="94" xfId="0" applyFont="1" applyBorder="1" applyAlignment="1">
      <alignment horizontal="left" vertical="top" wrapText="1"/>
    </xf>
    <xf numFmtId="0" fontId="53" fillId="0" borderId="95" xfId="0" applyFont="1" applyBorder="1" applyAlignment="1">
      <alignment horizontal="left" vertical="top" wrapText="1"/>
    </xf>
    <xf numFmtId="0" fontId="48" fillId="0" borderId="96" xfId="0" applyFont="1" applyBorder="1" applyAlignment="1">
      <alignment horizontal="left" vertical="top" wrapText="1"/>
    </xf>
    <xf numFmtId="0" fontId="48" fillId="0" borderId="97" xfId="0" applyFont="1" applyBorder="1" applyAlignment="1">
      <alignment horizontal="left" vertical="top" wrapText="1"/>
    </xf>
    <xf numFmtId="0" fontId="53" fillId="0" borderId="97" xfId="0" applyFont="1" applyBorder="1" applyAlignment="1">
      <alignment horizontal="left" vertical="top" wrapText="1"/>
    </xf>
    <xf numFmtId="0" fontId="53" fillId="0" borderId="98" xfId="0" applyFont="1" applyBorder="1" applyAlignment="1">
      <alignment horizontal="left" vertical="top" wrapText="1"/>
    </xf>
    <xf numFmtId="0" fontId="53" fillId="0" borderId="99" xfId="0" applyFont="1" applyBorder="1" applyAlignment="1">
      <alignment horizontal="left" vertical="top" wrapText="1"/>
    </xf>
    <xf numFmtId="0" fontId="53" fillId="0" borderId="100" xfId="0" applyFont="1" applyBorder="1" applyAlignment="1">
      <alignment horizontal="left" vertical="top" wrapText="1"/>
    </xf>
    <xf numFmtId="0" fontId="54" fillId="0" borderId="89" xfId="0" applyFont="1" applyBorder="1" applyAlignment="1">
      <alignment horizontal="left" vertical="top" wrapText="1"/>
    </xf>
    <xf numFmtId="0" fontId="53" fillId="0" borderId="101" xfId="0" applyFont="1" applyBorder="1" applyAlignment="1">
      <alignment horizontal="left" vertical="top" wrapText="1"/>
    </xf>
    <xf numFmtId="0" fontId="53" fillId="0" borderId="102" xfId="0" applyFont="1" applyBorder="1" applyAlignment="1">
      <alignment horizontal="left" vertical="top" wrapText="1"/>
    </xf>
    <xf numFmtId="0" fontId="53" fillId="0" borderId="103" xfId="0" applyFont="1" applyBorder="1" applyAlignment="1">
      <alignment horizontal="left" vertical="top" wrapText="1"/>
    </xf>
    <xf numFmtId="0" fontId="53" fillId="0" borderId="104" xfId="0" applyFont="1" applyBorder="1" applyAlignment="1">
      <alignment horizontal="left" vertical="top" wrapText="1"/>
    </xf>
    <xf numFmtId="0" fontId="53" fillId="0" borderId="105" xfId="0" applyFont="1" applyBorder="1" applyAlignment="1">
      <alignment horizontal="left" vertical="top" wrapText="1"/>
    </xf>
    <xf numFmtId="0" fontId="52" fillId="0" borderId="106" xfId="0" applyFont="1" applyBorder="1" applyAlignment="1">
      <alignment horizontal="left" vertical="top" wrapText="1"/>
    </xf>
    <xf numFmtId="0" fontId="52" fillId="0" borderId="107" xfId="0" applyFont="1" applyBorder="1" applyAlignment="1">
      <alignment horizontal="left" vertical="top" wrapText="1"/>
    </xf>
    <xf numFmtId="0" fontId="52" fillId="0" borderId="108" xfId="0" applyFont="1" applyBorder="1" applyAlignment="1">
      <alignment horizontal="left" vertical="top" wrapText="1"/>
    </xf>
    <xf numFmtId="0" fontId="52" fillId="0" borderId="109" xfId="0" applyFont="1" applyBorder="1" applyAlignment="1">
      <alignment horizontal="left" vertical="top" wrapText="1"/>
    </xf>
    <xf numFmtId="0" fontId="52" fillId="0" borderId="110" xfId="0" applyFont="1" applyBorder="1" applyAlignment="1">
      <alignment horizontal="left" vertical="top" wrapText="1"/>
    </xf>
    <xf numFmtId="0" fontId="48" fillId="0" borderId="111" xfId="0" applyFont="1" applyBorder="1" applyAlignment="1">
      <alignment horizontal="left" vertical="top" wrapText="1"/>
    </xf>
    <xf numFmtId="0" fontId="48" fillId="0" borderId="112" xfId="0" applyFont="1" applyBorder="1" applyAlignment="1">
      <alignment horizontal="left" vertical="top" wrapText="1"/>
    </xf>
    <xf numFmtId="0" fontId="53" fillId="0" borderId="113" xfId="0" applyFont="1" applyBorder="1" applyAlignment="1">
      <alignment horizontal="left" vertical="top" wrapText="1"/>
    </xf>
    <xf numFmtId="0" fontId="53" fillId="0" borderId="114" xfId="0" applyFont="1" applyBorder="1" applyAlignment="1">
      <alignment horizontal="left" vertical="top" wrapText="1"/>
    </xf>
    <xf numFmtId="0" fontId="53" fillId="0" borderId="115" xfId="0" applyFont="1" applyBorder="1" applyAlignment="1">
      <alignment horizontal="left" vertical="top" wrapText="1"/>
    </xf>
    <xf numFmtId="0" fontId="48" fillId="0" borderId="106" xfId="0" applyFont="1" applyBorder="1" applyAlignment="1">
      <alignment horizontal="left" vertical="top" wrapText="1"/>
    </xf>
    <xf numFmtId="0" fontId="48" fillId="0" borderId="107" xfId="0" applyFont="1" applyBorder="1" applyAlignment="1">
      <alignment horizontal="left" vertical="top" wrapText="1"/>
    </xf>
    <xf numFmtId="0" fontId="53" fillId="0" borderId="108" xfId="0" applyFont="1" applyBorder="1" applyAlignment="1">
      <alignment horizontal="left" vertical="top" wrapText="1"/>
    </xf>
    <xf numFmtId="0" fontId="53" fillId="0" borderId="109" xfId="0" applyFont="1" applyBorder="1" applyAlignment="1">
      <alignment horizontal="left" vertical="top" wrapText="1"/>
    </xf>
    <xf numFmtId="0" fontId="53" fillId="0" borderId="110" xfId="0" applyFont="1" applyBorder="1" applyAlignment="1">
      <alignment horizontal="left" vertical="top" wrapText="1"/>
    </xf>
    <xf numFmtId="0" fontId="53" fillId="0" borderId="106" xfId="0" applyFont="1" applyBorder="1" applyAlignment="1">
      <alignment horizontal="left" vertical="top" wrapText="1"/>
    </xf>
    <xf numFmtId="0" fontId="53" fillId="0" borderId="107" xfId="0" applyFont="1" applyBorder="1" applyAlignment="1">
      <alignment horizontal="left" vertical="top" wrapText="1"/>
    </xf>
    <xf numFmtId="0" fontId="53" fillId="0" borderId="106" xfId="0" applyFont="1" applyBorder="1" applyAlignment="1">
      <alignment horizontal="justify" vertical="top" wrapText="1"/>
    </xf>
    <xf numFmtId="0" fontId="53" fillId="0" borderId="107" xfId="0" applyFont="1" applyBorder="1" applyAlignment="1">
      <alignment horizontal="justify" vertical="top" wrapText="1"/>
    </xf>
    <xf numFmtId="0" fontId="53" fillId="0" borderId="108" xfId="0" applyFont="1" applyBorder="1" applyAlignment="1">
      <alignment horizontal="justify" vertical="top" wrapText="1"/>
    </xf>
    <xf numFmtId="0" fontId="53" fillId="0" borderId="109" xfId="0" applyFont="1" applyBorder="1" applyAlignment="1">
      <alignment horizontal="justify" vertical="top" wrapText="1"/>
    </xf>
    <xf numFmtId="0" fontId="53" fillId="0" borderId="110" xfId="0" applyFont="1" applyBorder="1" applyAlignment="1">
      <alignment horizontal="justify" vertical="top" wrapText="1"/>
    </xf>
    <xf numFmtId="0" fontId="51" fillId="0" borderId="116" xfId="0" applyFont="1" applyBorder="1"/>
    <xf numFmtId="0" fontId="51" fillId="0" borderId="117" xfId="0" applyFont="1" applyBorder="1"/>
    <xf numFmtId="0" fontId="51" fillId="0" borderId="118" xfId="0" applyFont="1" applyBorder="1"/>
  </cellXfs>
  <cellStyles count="5">
    <cellStyle name="Encabezado 1" xfId="2" builtinId="16"/>
    <cellStyle name="Normal" xfId="0" builtinId="0"/>
    <cellStyle name="Normal 2" xfId="3" xr:uid="{3D3EA4E9-5640-4EEF-8978-4BA0445F3BBA}"/>
    <cellStyle name="Normal 4" xfId="4" xr:uid="{270293FC-54E3-4B83-B24D-C806C64F70A9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Espectro de respuesta</a:t>
            </a:r>
            <a:r>
              <a:rPr lang="es-ES" baseline="0"/>
              <a:t> elástica, seuda-aceleración PSA 5%.</a:t>
            </a:r>
            <a:br>
              <a:rPr lang="es-ES" baseline="0"/>
            </a:br>
            <a:r>
              <a:rPr lang="es-ES" baseline="0"/>
              <a:t>Armenia, Quindío. Zona tipo A (Cenizas &gt;13m)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Micro_Armenia!$K$26</c:f>
              <c:strCache>
                <c:ptCount val="1"/>
                <c:pt idx="0">
                  <c:v>Espec. Armenia, Suelo D, Zona A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dash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Micro_Armenia!$A$14:$A$49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1.2000000000000002</c:v>
                </c:pt>
                <c:pt idx="7">
                  <c:v>1.3000000000000003</c:v>
                </c:pt>
                <c:pt idx="8">
                  <c:v>1.4000000000000004</c:v>
                </c:pt>
                <c:pt idx="9">
                  <c:v>1.5000000000000004</c:v>
                </c:pt>
                <c:pt idx="10">
                  <c:v>1.6000000000000005</c:v>
                </c:pt>
                <c:pt idx="11">
                  <c:v>1.7000000000000006</c:v>
                </c:pt>
                <c:pt idx="12">
                  <c:v>1.8000000000000007</c:v>
                </c:pt>
                <c:pt idx="13">
                  <c:v>1.9000000000000008</c:v>
                </c:pt>
                <c:pt idx="14">
                  <c:v>2.0000000000000009</c:v>
                </c:pt>
                <c:pt idx="15">
                  <c:v>2.100000000000001</c:v>
                </c:pt>
                <c:pt idx="16">
                  <c:v>2.2000000000000011</c:v>
                </c:pt>
                <c:pt idx="17">
                  <c:v>2.3000000000000012</c:v>
                </c:pt>
                <c:pt idx="18">
                  <c:v>2.4000000000000012</c:v>
                </c:pt>
                <c:pt idx="19">
                  <c:v>2.5000000000000013</c:v>
                </c:pt>
                <c:pt idx="20">
                  <c:v>2.6000000000000014</c:v>
                </c:pt>
                <c:pt idx="21">
                  <c:v>2.7000000000000015</c:v>
                </c:pt>
                <c:pt idx="22">
                  <c:v>2.8000000000000016</c:v>
                </c:pt>
                <c:pt idx="23">
                  <c:v>2.9000000000000017</c:v>
                </c:pt>
                <c:pt idx="24">
                  <c:v>3.0000000000000018</c:v>
                </c:pt>
                <c:pt idx="25">
                  <c:v>3.1000000000000019</c:v>
                </c:pt>
                <c:pt idx="26">
                  <c:v>3.200000000000002</c:v>
                </c:pt>
                <c:pt idx="27">
                  <c:v>3.300000000000002</c:v>
                </c:pt>
                <c:pt idx="28">
                  <c:v>3.4000000000000021</c:v>
                </c:pt>
                <c:pt idx="29">
                  <c:v>3.5000000000000022</c:v>
                </c:pt>
                <c:pt idx="30">
                  <c:v>3.6000000000000023</c:v>
                </c:pt>
                <c:pt idx="31">
                  <c:v>3.7000000000000024</c:v>
                </c:pt>
                <c:pt idx="32">
                  <c:v>3.8000000000000025</c:v>
                </c:pt>
                <c:pt idx="33">
                  <c:v>3.9000000000000026</c:v>
                </c:pt>
                <c:pt idx="34">
                  <c:v>4.0000000000000027</c:v>
                </c:pt>
                <c:pt idx="35">
                  <c:v>4.1000000000000023</c:v>
                </c:pt>
              </c:numCache>
            </c:numRef>
          </c:xVal>
          <c:yVal>
            <c:numRef>
              <c:f>Micro_Armenia!$B$14:$B$49</c:f>
              <c:numCache>
                <c:formatCode>General</c:formatCode>
                <c:ptCount val="36"/>
                <c:pt idx="0">
                  <c:v>0.44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0.92408780513809297</c:v>
                </c:pt>
                <c:pt idx="4">
                  <c:v>0.78899999999999992</c:v>
                </c:pt>
                <c:pt idx="5">
                  <c:v>0.68389271174070188</c:v>
                </c:pt>
                <c:pt idx="6">
                  <c:v>0.60021263593274432</c:v>
                </c:pt>
                <c:pt idx="7">
                  <c:v>0.53230675171788133</c:v>
                </c:pt>
                <c:pt idx="8">
                  <c:v>0.47630479070057091</c:v>
                </c:pt>
                <c:pt idx="9">
                  <c:v>0.42947720156798369</c:v>
                </c:pt>
                <c:pt idx="10">
                  <c:v>0.38984954279263273</c:v>
                </c:pt>
                <c:pt idx="11">
                  <c:v>0.35596198600033818</c:v>
                </c:pt>
                <c:pt idx="12">
                  <c:v>0.32671437671246906</c:v>
                </c:pt>
                <c:pt idx="13">
                  <c:v>0.30126355859831516</c:v>
                </c:pt>
                <c:pt idx="14">
                  <c:v>0.2789536251780928</c:v>
                </c:pt>
                <c:pt idx="15">
                  <c:v>0.25926748872434141</c:v>
                </c:pt>
                <c:pt idx="16">
                  <c:v>0.24179258703795345</c:v>
                </c:pt>
                <c:pt idx="17">
                  <c:v>0.22619617109098936</c:v>
                </c:pt>
                <c:pt idx="18">
                  <c:v>0.22</c:v>
                </c:pt>
                <c:pt idx="19">
                  <c:v>0.22</c:v>
                </c:pt>
                <c:pt idx="20">
                  <c:v>0.22</c:v>
                </c:pt>
                <c:pt idx="21">
                  <c:v>0.22</c:v>
                </c:pt>
                <c:pt idx="22">
                  <c:v>0.22</c:v>
                </c:pt>
                <c:pt idx="23">
                  <c:v>0.22</c:v>
                </c:pt>
                <c:pt idx="24">
                  <c:v>0.22</c:v>
                </c:pt>
                <c:pt idx="25">
                  <c:v>0.22</c:v>
                </c:pt>
                <c:pt idx="26">
                  <c:v>0.22</c:v>
                </c:pt>
                <c:pt idx="27">
                  <c:v>0.22</c:v>
                </c:pt>
                <c:pt idx="28">
                  <c:v>0.22</c:v>
                </c:pt>
                <c:pt idx="29">
                  <c:v>0.22</c:v>
                </c:pt>
                <c:pt idx="30">
                  <c:v>0.22</c:v>
                </c:pt>
                <c:pt idx="31">
                  <c:v>0.22</c:v>
                </c:pt>
                <c:pt idx="32">
                  <c:v>0.22</c:v>
                </c:pt>
                <c:pt idx="33">
                  <c:v>0.22</c:v>
                </c:pt>
                <c:pt idx="34">
                  <c:v>0.22</c:v>
                </c:pt>
                <c:pt idx="35">
                  <c:v>0.22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40-4A48-871C-437B3878B2E0}"/>
            </c:ext>
          </c:extLst>
        </c:ser>
        <c:ser>
          <c:idx val="1"/>
          <c:order val="1"/>
          <c:tx>
            <c:strRef>
              <c:f>'2026-PSA-ARMEC'!$E$2</c:f>
              <c:strCache>
                <c:ptCount val="1"/>
                <c:pt idx="0">
                  <c:v>Sismo2026-ARMEC - EW (%g)</c:v>
                </c:pt>
              </c:strCache>
            </c:strRef>
          </c:tx>
          <c:spPr>
            <a:ln w="9525" cap="rnd">
              <a:solidFill>
                <a:srgbClr val="FF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'2026-PSA-ARMEC'!$A$3:$A$84</c:f>
              <c:numCache>
                <c:formatCode>General</c:formatCode>
                <c:ptCount val="82"/>
                <c:pt idx="0">
                  <c:v>0.01</c:v>
                </c:pt>
                <c:pt idx="1">
                  <c:v>1.2E-2</c:v>
                </c:pt>
                <c:pt idx="2">
                  <c:v>1.4999999999999999E-2</c:v>
                </c:pt>
                <c:pt idx="3">
                  <c:v>1.7999999999999999E-2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0.16</c:v>
                </c:pt>
                <c:pt idx="32">
                  <c:v>0.17</c:v>
                </c:pt>
                <c:pt idx="33">
                  <c:v>0.18</c:v>
                </c:pt>
                <c:pt idx="34">
                  <c:v>0.19</c:v>
                </c:pt>
                <c:pt idx="35">
                  <c:v>0.2</c:v>
                </c:pt>
                <c:pt idx="36">
                  <c:v>0.21</c:v>
                </c:pt>
                <c:pt idx="37">
                  <c:v>0.22</c:v>
                </c:pt>
                <c:pt idx="38">
                  <c:v>0.23</c:v>
                </c:pt>
                <c:pt idx="39">
                  <c:v>0.24</c:v>
                </c:pt>
                <c:pt idx="40">
                  <c:v>0.25</c:v>
                </c:pt>
                <c:pt idx="41">
                  <c:v>0.27</c:v>
                </c:pt>
                <c:pt idx="42">
                  <c:v>0.28999999999999998</c:v>
                </c:pt>
                <c:pt idx="43">
                  <c:v>0.31</c:v>
                </c:pt>
                <c:pt idx="44">
                  <c:v>0.32</c:v>
                </c:pt>
                <c:pt idx="45">
                  <c:v>0.34</c:v>
                </c:pt>
                <c:pt idx="46">
                  <c:v>0.36</c:v>
                </c:pt>
                <c:pt idx="47">
                  <c:v>0.38</c:v>
                </c:pt>
                <c:pt idx="48">
                  <c:v>0.4</c:v>
                </c:pt>
                <c:pt idx="49">
                  <c:v>0.43</c:v>
                </c:pt>
                <c:pt idx="50">
                  <c:v>0.46</c:v>
                </c:pt>
                <c:pt idx="51">
                  <c:v>0.48</c:v>
                </c:pt>
                <c:pt idx="52">
                  <c:v>0.5</c:v>
                </c:pt>
                <c:pt idx="53">
                  <c:v>0.52</c:v>
                </c:pt>
                <c:pt idx="54">
                  <c:v>0.55000000000000004</c:v>
                </c:pt>
                <c:pt idx="55">
                  <c:v>0.6</c:v>
                </c:pt>
                <c:pt idx="56">
                  <c:v>0.65</c:v>
                </c:pt>
                <c:pt idx="57">
                  <c:v>0.7</c:v>
                </c:pt>
                <c:pt idx="58">
                  <c:v>0.75</c:v>
                </c:pt>
                <c:pt idx="59">
                  <c:v>0.8</c:v>
                </c:pt>
                <c:pt idx="60">
                  <c:v>0.85</c:v>
                </c:pt>
                <c:pt idx="61">
                  <c:v>0.9</c:v>
                </c:pt>
                <c:pt idx="62">
                  <c:v>0.95</c:v>
                </c:pt>
                <c:pt idx="63">
                  <c:v>1</c:v>
                </c:pt>
                <c:pt idx="64">
                  <c:v>1.1000000000000001</c:v>
                </c:pt>
                <c:pt idx="65">
                  <c:v>1.2</c:v>
                </c:pt>
                <c:pt idx="66">
                  <c:v>1.3</c:v>
                </c:pt>
                <c:pt idx="67">
                  <c:v>1.4</c:v>
                </c:pt>
                <c:pt idx="68">
                  <c:v>1.5</c:v>
                </c:pt>
                <c:pt idx="69">
                  <c:v>1.6</c:v>
                </c:pt>
                <c:pt idx="70">
                  <c:v>1.7</c:v>
                </c:pt>
                <c:pt idx="71">
                  <c:v>1.8</c:v>
                </c:pt>
                <c:pt idx="72">
                  <c:v>1.9</c:v>
                </c:pt>
                <c:pt idx="73">
                  <c:v>2</c:v>
                </c:pt>
                <c:pt idx="74">
                  <c:v>2.2000000000000002</c:v>
                </c:pt>
                <c:pt idx="75">
                  <c:v>2.5</c:v>
                </c:pt>
                <c:pt idx="76">
                  <c:v>2.8</c:v>
                </c:pt>
                <c:pt idx="77">
                  <c:v>3</c:v>
                </c:pt>
                <c:pt idx="78">
                  <c:v>3.5</c:v>
                </c:pt>
                <c:pt idx="79">
                  <c:v>4</c:v>
                </c:pt>
                <c:pt idx="80">
                  <c:v>4.5</c:v>
                </c:pt>
                <c:pt idx="81">
                  <c:v>5</c:v>
                </c:pt>
              </c:numCache>
            </c:numRef>
          </c:xVal>
          <c:yVal>
            <c:numRef>
              <c:f>'2026-PSA-ARMEC'!$E$3:$E$84</c:f>
              <c:numCache>
                <c:formatCode>0.00%</c:formatCode>
                <c:ptCount val="82"/>
                <c:pt idx="0">
                  <c:v>0.2039</c:v>
                </c:pt>
                <c:pt idx="1">
                  <c:v>0.1988</c:v>
                </c:pt>
                <c:pt idx="2">
                  <c:v>0.2039</c:v>
                </c:pt>
                <c:pt idx="3">
                  <c:v>0.21210000000000001</c:v>
                </c:pt>
                <c:pt idx="4">
                  <c:v>0.21010000000000001</c:v>
                </c:pt>
                <c:pt idx="5">
                  <c:v>0.21210000000000001</c:v>
                </c:pt>
                <c:pt idx="6">
                  <c:v>0.21210000000000001</c:v>
                </c:pt>
                <c:pt idx="7">
                  <c:v>0.1988</c:v>
                </c:pt>
                <c:pt idx="8">
                  <c:v>0.2009</c:v>
                </c:pt>
                <c:pt idx="9">
                  <c:v>0.21210000000000001</c:v>
                </c:pt>
                <c:pt idx="10">
                  <c:v>0.21210000000000001</c:v>
                </c:pt>
                <c:pt idx="11">
                  <c:v>0.20899999999999999</c:v>
                </c:pt>
                <c:pt idx="12">
                  <c:v>0.21920000000000001</c:v>
                </c:pt>
                <c:pt idx="13">
                  <c:v>0.2162</c:v>
                </c:pt>
                <c:pt idx="14">
                  <c:v>0.2243</c:v>
                </c:pt>
                <c:pt idx="15">
                  <c:v>0.23449999999999999</c:v>
                </c:pt>
                <c:pt idx="16">
                  <c:v>0.2447</c:v>
                </c:pt>
                <c:pt idx="17">
                  <c:v>0.24979999999999999</c:v>
                </c:pt>
                <c:pt idx="18">
                  <c:v>0.25490000000000002</c:v>
                </c:pt>
                <c:pt idx="19">
                  <c:v>0.25490000000000002</c:v>
                </c:pt>
                <c:pt idx="20">
                  <c:v>0.30590000000000001</c:v>
                </c:pt>
                <c:pt idx="21">
                  <c:v>0.34160000000000001</c:v>
                </c:pt>
                <c:pt idx="22">
                  <c:v>0.36709999999999998</c:v>
                </c:pt>
                <c:pt idx="23">
                  <c:v>0.3926</c:v>
                </c:pt>
                <c:pt idx="24">
                  <c:v>0.40279999999999999</c:v>
                </c:pt>
                <c:pt idx="25">
                  <c:v>0.43340000000000001</c:v>
                </c:pt>
                <c:pt idx="26">
                  <c:v>0.4844</c:v>
                </c:pt>
                <c:pt idx="27">
                  <c:v>0.48949999999999999</c:v>
                </c:pt>
                <c:pt idx="28">
                  <c:v>0.50480000000000003</c:v>
                </c:pt>
                <c:pt idx="29">
                  <c:v>0.49969999999999998</c:v>
                </c:pt>
                <c:pt idx="30">
                  <c:v>0.50990000000000002</c:v>
                </c:pt>
                <c:pt idx="31">
                  <c:v>0.48949999999999999</c:v>
                </c:pt>
                <c:pt idx="32">
                  <c:v>0.52010000000000001</c:v>
                </c:pt>
                <c:pt idx="33">
                  <c:v>0.50990000000000002</c:v>
                </c:pt>
                <c:pt idx="34">
                  <c:v>0.54549999999999998</c:v>
                </c:pt>
                <c:pt idx="35">
                  <c:v>0.50990000000000002</c:v>
                </c:pt>
                <c:pt idx="36">
                  <c:v>0.5252</c:v>
                </c:pt>
                <c:pt idx="37">
                  <c:v>0.48949999999999999</c:v>
                </c:pt>
                <c:pt idx="38">
                  <c:v>0.40789999999999998</c:v>
                </c:pt>
                <c:pt idx="39">
                  <c:v>0.3569</c:v>
                </c:pt>
                <c:pt idx="40">
                  <c:v>0.30590000000000001</c:v>
                </c:pt>
                <c:pt idx="41">
                  <c:v>0.29060000000000002</c:v>
                </c:pt>
                <c:pt idx="42">
                  <c:v>0.38750000000000001</c:v>
                </c:pt>
                <c:pt idx="43">
                  <c:v>0.46400000000000002</c:v>
                </c:pt>
                <c:pt idx="44">
                  <c:v>0.40789999999999998</c:v>
                </c:pt>
                <c:pt idx="45">
                  <c:v>0.32119999999999999</c:v>
                </c:pt>
                <c:pt idx="46">
                  <c:v>0.3569</c:v>
                </c:pt>
                <c:pt idx="47">
                  <c:v>0.48949999999999999</c:v>
                </c:pt>
                <c:pt idx="48">
                  <c:v>0.45889999999999997</c:v>
                </c:pt>
                <c:pt idx="49">
                  <c:v>0.59140000000000004</c:v>
                </c:pt>
                <c:pt idx="50">
                  <c:v>0.64239999999999997</c:v>
                </c:pt>
                <c:pt idx="51">
                  <c:v>0.66790000000000005</c:v>
                </c:pt>
                <c:pt idx="52">
                  <c:v>0.72399999999999998</c:v>
                </c:pt>
                <c:pt idx="53">
                  <c:v>0.84640000000000004</c:v>
                </c:pt>
                <c:pt idx="54">
                  <c:v>0.69340000000000002</c:v>
                </c:pt>
                <c:pt idx="55">
                  <c:v>0.50990000000000002</c:v>
                </c:pt>
                <c:pt idx="56">
                  <c:v>0.30080000000000001</c:v>
                </c:pt>
                <c:pt idx="57">
                  <c:v>0.30590000000000001</c:v>
                </c:pt>
                <c:pt idx="58">
                  <c:v>0.28039999999999998</c:v>
                </c:pt>
                <c:pt idx="59">
                  <c:v>0.2039</c:v>
                </c:pt>
                <c:pt idx="60">
                  <c:v>0.17330000000000001</c:v>
                </c:pt>
                <c:pt idx="61">
                  <c:v>0.14069999999999999</c:v>
                </c:pt>
                <c:pt idx="62">
                  <c:v>0.1173</c:v>
                </c:pt>
                <c:pt idx="63">
                  <c:v>0.10199999999999999</c:v>
                </c:pt>
                <c:pt idx="64">
                  <c:v>9.9900000000000003E-2</c:v>
                </c:pt>
                <c:pt idx="65">
                  <c:v>9.9900000000000003E-2</c:v>
                </c:pt>
                <c:pt idx="66">
                  <c:v>7.9500000000000001E-2</c:v>
                </c:pt>
                <c:pt idx="67">
                  <c:v>8.9700000000000002E-2</c:v>
                </c:pt>
                <c:pt idx="68">
                  <c:v>7.7499999999999999E-2</c:v>
                </c:pt>
                <c:pt idx="69">
                  <c:v>8.6699999999999999E-2</c:v>
                </c:pt>
                <c:pt idx="70">
                  <c:v>6.3200000000000006E-2</c:v>
                </c:pt>
                <c:pt idx="71">
                  <c:v>8.3599999999999994E-2</c:v>
                </c:pt>
                <c:pt idx="72">
                  <c:v>5.0999999999999997E-2</c:v>
                </c:pt>
                <c:pt idx="73">
                  <c:v>6.3200000000000006E-2</c:v>
                </c:pt>
                <c:pt idx="74">
                  <c:v>4.8899999999999999E-2</c:v>
                </c:pt>
                <c:pt idx="75">
                  <c:v>2.5499999999999998E-2</c:v>
                </c:pt>
                <c:pt idx="76">
                  <c:v>2.86E-2</c:v>
                </c:pt>
                <c:pt idx="77">
                  <c:v>2.0400000000000001E-2</c:v>
                </c:pt>
                <c:pt idx="78">
                  <c:v>1.3299999999999999E-2</c:v>
                </c:pt>
                <c:pt idx="79">
                  <c:v>1.3299999999999999E-2</c:v>
                </c:pt>
                <c:pt idx="80">
                  <c:v>6.1000000000000004E-3</c:v>
                </c:pt>
                <c:pt idx="81">
                  <c:v>5.1000000000000004E-3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D40-4A48-871C-437B3878B2E0}"/>
            </c:ext>
          </c:extLst>
        </c:ser>
        <c:ser>
          <c:idx val="2"/>
          <c:order val="2"/>
          <c:tx>
            <c:strRef>
              <c:f>'2026-PSA-ARMEC'!$F$2</c:f>
              <c:strCache>
                <c:ptCount val="1"/>
                <c:pt idx="0">
                  <c:v>Sismo2026-ARMEC - NS (%g)</c:v>
                </c:pt>
              </c:strCache>
            </c:strRef>
          </c:tx>
          <c:spPr>
            <a:ln w="9525" cap="rnd">
              <a:solidFill>
                <a:srgbClr val="00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'2026-PSA-ARMEC'!$A$3:$A$84</c:f>
              <c:numCache>
                <c:formatCode>General</c:formatCode>
                <c:ptCount val="82"/>
                <c:pt idx="0">
                  <c:v>0.01</c:v>
                </c:pt>
                <c:pt idx="1">
                  <c:v>1.2E-2</c:v>
                </c:pt>
                <c:pt idx="2">
                  <c:v>1.4999999999999999E-2</c:v>
                </c:pt>
                <c:pt idx="3">
                  <c:v>1.7999999999999999E-2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0.16</c:v>
                </c:pt>
                <c:pt idx="32">
                  <c:v>0.17</c:v>
                </c:pt>
                <c:pt idx="33">
                  <c:v>0.18</c:v>
                </c:pt>
                <c:pt idx="34">
                  <c:v>0.19</c:v>
                </c:pt>
                <c:pt idx="35">
                  <c:v>0.2</c:v>
                </c:pt>
                <c:pt idx="36">
                  <c:v>0.21</c:v>
                </c:pt>
                <c:pt idx="37">
                  <c:v>0.22</c:v>
                </c:pt>
                <c:pt idx="38">
                  <c:v>0.23</c:v>
                </c:pt>
                <c:pt idx="39">
                  <c:v>0.24</c:v>
                </c:pt>
                <c:pt idx="40">
                  <c:v>0.25</c:v>
                </c:pt>
                <c:pt idx="41">
                  <c:v>0.27</c:v>
                </c:pt>
                <c:pt idx="42">
                  <c:v>0.28999999999999998</c:v>
                </c:pt>
                <c:pt idx="43">
                  <c:v>0.31</c:v>
                </c:pt>
                <c:pt idx="44">
                  <c:v>0.32</c:v>
                </c:pt>
                <c:pt idx="45">
                  <c:v>0.34</c:v>
                </c:pt>
                <c:pt idx="46">
                  <c:v>0.36</c:v>
                </c:pt>
                <c:pt idx="47">
                  <c:v>0.38</c:v>
                </c:pt>
                <c:pt idx="48">
                  <c:v>0.4</c:v>
                </c:pt>
                <c:pt idx="49">
                  <c:v>0.43</c:v>
                </c:pt>
                <c:pt idx="50">
                  <c:v>0.46</c:v>
                </c:pt>
                <c:pt idx="51">
                  <c:v>0.48</c:v>
                </c:pt>
                <c:pt idx="52">
                  <c:v>0.5</c:v>
                </c:pt>
                <c:pt idx="53">
                  <c:v>0.52</c:v>
                </c:pt>
                <c:pt idx="54">
                  <c:v>0.55000000000000004</c:v>
                </c:pt>
                <c:pt idx="55">
                  <c:v>0.6</c:v>
                </c:pt>
                <c:pt idx="56">
                  <c:v>0.65</c:v>
                </c:pt>
                <c:pt idx="57">
                  <c:v>0.7</c:v>
                </c:pt>
                <c:pt idx="58">
                  <c:v>0.75</c:v>
                </c:pt>
                <c:pt idx="59">
                  <c:v>0.8</c:v>
                </c:pt>
                <c:pt idx="60">
                  <c:v>0.85</c:v>
                </c:pt>
                <c:pt idx="61">
                  <c:v>0.9</c:v>
                </c:pt>
                <c:pt idx="62">
                  <c:v>0.95</c:v>
                </c:pt>
                <c:pt idx="63">
                  <c:v>1</c:v>
                </c:pt>
                <c:pt idx="64">
                  <c:v>1.1000000000000001</c:v>
                </c:pt>
                <c:pt idx="65">
                  <c:v>1.2</c:v>
                </c:pt>
                <c:pt idx="66">
                  <c:v>1.3</c:v>
                </c:pt>
                <c:pt idx="67">
                  <c:v>1.4</c:v>
                </c:pt>
                <c:pt idx="68">
                  <c:v>1.5</c:v>
                </c:pt>
                <c:pt idx="69">
                  <c:v>1.6</c:v>
                </c:pt>
                <c:pt idx="70">
                  <c:v>1.7</c:v>
                </c:pt>
                <c:pt idx="71">
                  <c:v>1.8</c:v>
                </c:pt>
                <c:pt idx="72">
                  <c:v>1.9</c:v>
                </c:pt>
                <c:pt idx="73">
                  <c:v>2</c:v>
                </c:pt>
                <c:pt idx="74">
                  <c:v>2.2000000000000002</c:v>
                </c:pt>
                <c:pt idx="75">
                  <c:v>2.5</c:v>
                </c:pt>
                <c:pt idx="76">
                  <c:v>2.8</c:v>
                </c:pt>
                <c:pt idx="77">
                  <c:v>3</c:v>
                </c:pt>
                <c:pt idx="78">
                  <c:v>3.5</c:v>
                </c:pt>
                <c:pt idx="79">
                  <c:v>4</c:v>
                </c:pt>
                <c:pt idx="80">
                  <c:v>4.5</c:v>
                </c:pt>
                <c:pt idx="81">
                  <c:v>5</c:v>
                </c:pt>
              </c:numCache>
            </c:numRef>
          </c:xVal>
          <c:yVal>
            <c:numRef>
              <c:f>'2026-PSA-ARMEC'!$F$3:$F$84</c:f>
              <c:numCache>
                <c:formatCode>0.00%</c:formatCode>
                <c:ptCount val="82"/>
                <c:pt idx="0">
                  <c:v>0.22939999999999999</c:v>
                </c:pt>
                <c:pt idx="1">
                  <c:v>0.22939999999999999</c:v>
                </c:pt>
                <c:pt idx="2">
                  <c:v>0.22639999999999999</c:v>
                </c:pt>
                <c:pt idx="3">
                  <c:v>0.22939999999999999</c:v>
                </c:pt>
                <c:pt idx="4">
                  <c:v>0.22939999999999999</c:v>
                </c:pt>
                <c:pt idx="5">
                  <c:v>0.22739999999999999</c:v>
                </c:pt>
                <c:pt idx="6">
                  <c:v>0.22639999999999999</c:v>
                </c:pt>
                <c:pt idx="7">
                  <c:v>0.23250000000000001</c:v>
                </c:pt>
                <c:pt idx="8">
                  <c:v>0.2366</c:v>
                </c:pt>
                <c:pt idx="9">
                  <c:v>0.2427</c:v>
                </c:pt>
                <c:pt idx="10">
                  <c:v>0.23860000000000001</c:v>
                </c:pt>
                <c:pt idx="11">
                  <c:v>0.2427</c:v>
                </c:pt>
                <c:pt idx="12">
                  <c:v>0.25490000000000002</c:v>
                </c:pt>
                <c:pt idx="13">
                  <c:v>0.2447</c:v>
                </c:pt>
                <c:pt idx="14">
                  <c:v>0.2447</c:v>
                </c:pt>
                <c:pt idx="15">
                  <c:v>0.2651</c:v>
                </c:pt>
                <c:pt idx="16">
                  <c:v>0.2702</c:v>
                </c:pt>
                <c:pt idx="17">
                  <c:v>0.2702</c:v>
                </c:pt>
                <c:pt idx="18">
                  <c:v>0.27529999999999999</c:v>
                </c:pt>
                <c:pt idx="19">
                  <c:v>0.27529999999999999</c:v>
                </c:pt>
                <c:pt idx="20">
                  <c:v>0.32629999999999998</c:v>
                </c:pt>
                <c:pt idx="21">
                  <c:v>0.40789999999999998</c:v>
                </c:pt>
                <c:pt idx="22">
                  <c:v>0.48949999999999999</c:v>
                </c:pt>
                <c:pt idx="23">
                  <c:v>0.59140000000000004</c:v>
                </c:pt>
                <c:pt idx="24">
                  <c:v>0.60980000000000001</c:v>
                </c:pt>
                <c:pt idx="25">
                  <c:v>0.53029999999999999</c:v>
                </c:pt>
                <c:pt idx="26">
                  <c:v>0.45889999999999997</c:v>
                </c:pt>
                <c:pt idx="27">
                  <c:v>0.49969999999999998</c:v>
                </c:pt>
                <c:pt idx="28">
                  <c:v>0.54039999999999999</c:v>
                </c:pt>
                <c:pt idx="29">
                  <c:v>0.53839999999999999</c:v>
                </c:pt>
                <c:pt idx="30">
                  <c:v>0.5282</c:v>
                </c:pt>
                <c:pt idx="31">
                  <c:v>0.48949999999999999</c:v>
                </c:pt>
                <c:pt idx="32">
                  <c:v>0.50990000000000002</c:v>
                </c:pt>
                <c:pt idx="33">
                  <c:v>0.61180000000000001</c:v>
                </c:pt>
                <c:pt idx="34">
                  <c:v>0.7056</c:v>
                </c:pt>
                <c:pt idx="35">
                  <c:v>0.64239999999999997</c:v>
                </c:pt>
                <c:pt idx="36">
                  <c:v>0.65569999999999995</c:v>
                </c:pt>
                <c:pt idx="37">
                  <c:v>0.58120000000000005</c:v>
                </c:pt>
                <c:pt idx="38">
                  <c:v>0.52010000000000001</c:v>
                </c:pt>
                <c:pt idx="39">
                  <c:v>0.43340000000000001</c:v>
                </c:pt>
                <c:pt idx="40">
                  <c:v>0.42830000000000001</c:v>
                </c:pt>
                <c:pt idx="41">
                  <c:v>0.40989999999999999</c:v>
                </c:pt>
                <c:pt idx="42">
                  <c:v>0.53029999999999999</c:v>
                </c:pt>
                <c:pt idx="43">
                  <c:v>0.78520000000000001</c:v>
                </c:pt>
                <c:pt idx="44">
                  <c:v>0.81069999999999998</c:v>
                </c:pt>
                <c:pt idx="45">
                  <c:v>0.52010000000000001</c:v>
                </c:pt>
                <c:pt idx="46">
                  <c:v>0.3589</c:v>
                </c:pt>
                <c:pt idx="47">
                  <c:v>0.41810000000000003</c:v>
                </c:pt>
                <c:pt idx="48">
                  <c:v>0.4793</c:v>
                </c:pt>
                <c:pt idx="49">
                  <c:v>0.622</c:v>
                </c:pt>
                <c:pt idx="50">
                  <c:v>0.68320000000000003</c:v>
                </c:pt>
                <c:pt idx="51">
                  <c:v>0.69850000000000001</c:v>
                </c:pt>
                <c:pt idx="52">
                  <c:v>0.7954</c:v>
                </c:pt>
                <c:pt idx="53">
                  <c:v>0.90759999999999996</c:v>
                </c:pt>
                <c:pt idx="54">
                  <c:v>0.80559999999999998</c:v>
                </c:pt>
                <c:pt idx="55">
                  <c:v>0.61180000000000001</c:v>
                </c:pt>
                <c:pt idx="56">
                  <c:v>0.36709999999999998</c:v>
                </c:pt>
                <c:pt idx="57">
                  <c:v>0.31609999999999999</c:v>
                </c:pt>
                <c:pt idx="58">
                  <c:v>0.28039999999999998</c:v>
                </c:pt>
                <c:pt idx="59">
                  <c:v>0.22939999999999999</c:v>
                </c:pt>
                <c:pt idx="60">
                  <c:v>0.17330000000000001</c:v>
                </c:pt>
                <c:pt idx="61">
                  <c:v>0.19070000000000001</c:v>
                </c:pt>
                <c:pt idx="62">
                  <c:v>0.16819999999999999</c:v>
                </c:pt>
                <c:pt idx="63">
                  <c:v>0.1784</c:v>
                </c:pt>
                <c:pt idx="64">
                  <c:v>0.14069999999999999</c:v>
                </c:pt>
                <c:pt idx="65">
                  <c:v>0.156</c:v>
                </c:pt>
                <c:pt idx="66">
                  <c:v>0.1173</c:v>
                </c:pt>
                <c:pt idx="67">
                  <c:v>0.1071</c:v>
                </c:pt>
                <c:pt idx="68">
                  <c:v>0.13769999999999999</c:v>
                </c:pt>
                <c:pt idx="69">
                  <c:v>8.1600000000000006E-2</c:v>
                </c:pt>
                <c:pt idx="70">
                  <c:v>8.3599999999999994E-2</c:v>
                </c:pt>
                <c:pt idx="71">
                  <c:v>8.3599999999999994E-2</c:v>
                </c:pt>
                <c:pt idx="72">
                  <c:v>4.8899999999999999E-2</c:v>
                </c:pt>
                <c:pt idx="73">
                  <c:v>5.0999999999999997E-2</c:v>
                </c:pt>
                <c:pt idx="74">
                  <c:v>4.8899999999999999E-2</c:v>
                </c:pt>
                <c:pt idx="75">
                  <c:v>3.2599999999999997E-2</c:v>
                </c:pt>
                <c:pt idx="76">
                  <c:v>1.84E-2</c:v>
                </c:pt>
                <c:pt idx="77">
                  <c:v>1.43E-2</c:v>
                </c:pt>
                <c:pt idx="78">
                  <c:v>1.0200000000000001E-2</c:v>
                </c:pt>
                <c:pt idx="79">
                  <c:v>5.1000000000000004E-3</c:v>
                </c:pt>
                <c:pt idx="80">
                  <c:v>5.1000000000000004E-3</c:v>
                </c:pt>
                <c:pt idx="81">
                  <c:v>5.1000000000000004E-3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D40-4A48-871C-437B3878B2E0}"/>
            </c:ext>
          </c:extLst>
        </c:ser>
        <c:ser>
          <c:idx val="3"/>
          <c:order val="3"/>
          <c:tx>
            <c:strRef>
              <c:f>'2026-PSA-ARMEC'!$G$2</c:f>
              <c:strCache>
                <c:ptCount val="1"/>
                <c:pt idx="0">
                  <c:v>Sismo2026-ARMEC - Vert (%g)</c:v>
                </c:pt>
              </c:strCache>
            </c:strRef>
          </c:tx>
          <c:spPr>
            <a:ln w="9525" cap="rnd">
              <a:solidFill>
                <a:srgbClr val="00B05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'2026-PSA-ARMEC'!$A$3:$A$84</c:f>
              <c:numCache>
                <c:formatCode>General</c:formatCode>
                <c:ptCount val="82"/>
                <c:pt idx="0">
                  <c:v>0.01</c:v>
                </c:pt>
                <c:pt idx="1">
                  <c:v>1.2E-2</c:v>
                </c:pt>
                <c:pt idx="2">
                  <c:v>1.4999999999999999E-2</c:v>
                </c:pt>
                <c:pt idx="3">
                  <c:v>1.7999999999999999E-2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0.16</c:v>
                </c:pt>
                <c:pt idx="32">
                  <c:v>0.17</c:v>
                </c:pt>
                <c:pt idx="33">
                  <c:v>0.18</c:v>
                </c:pt>
                <c:pt idx="34">
                  <c:v>0.19</c:v>
                </c:pt>
                <c:pt idx="35">
                  <c:v>0.2</c:v>
                </c:pt>
                <c:pt idx="36">
                  <c:v>0.21</c:v>
                </c:pt>
                <c:pt idx="37">
                  <c:v>0.22</c:v>
                </c:pt>
                <c:pt idx="38">
                  <c:v>0.23</c:v>
                </c:pt>
                <c:pt idx="39">
                  <c:v>0.24</c:v>
                </c:pt>
                <c:pt idx="40">
                  <c:v>0.25</c:v>
                </c:pt>
                <c:pt idx="41">
                  <c:v>0.27</c:v>
                </c:pt>
                <c:pt idx="42">
                  <c:v>0.28999999999999998</c:v>
                </c:pt>
                <c:pt idx="43">
                  <c:v>0.31</c:v>
                </c:pt>
                <c:pt idx="44">
                  <c:v>0.32</c:v>
                </c:pt>
                <c:pt idx="45">
                  <c:v>0.34</c:v>
                </c:pt>
                <c:pt idx="46">
                  <c:v>0.36</c:v>
                </c:pt>
                <c:pt idx="47">
                  <c:v>0.38</c:v>
                </c:pt>
                <c:pt idx="48">
                  <c:v>0.4</c:v>
                </c:pt>
                <c:pt idx="49">
                  <c:v>0.43</c:v>
                </c:pt>
                <c:pt idx="50">
                  <c:v>0.46</c:v>
                </c:pt>
                <c:pt idx="51">
                  <c:v>0.48</c:v>
                </c:pt>
                <c:pt idx="52">
                  <c:v>0.5</c:v>
                </c:pt>
                <c:pt idx="53">
                  <c:v>0.52</c:v>
                </c:pt>
                <c:pt idx="54">
                  <c:v>0.55000000000000004</c:v>
                </c:pt>
                <c:pt idx="55">
                  <c:v>0.6</c:v>
                </c:pt>
                <c:pt idx="56">
                  <c:v>0.65</c:v>
                </c:pt>
                <c:pt idx="57">
                  <c:v>0.7</c:v>
                </c:pt>
                <c:pt idx="58">
                  <c:v>0.75</c:v>
                </c:pt>
                <c:pt idx="59">
                  <c:v>0.8</c:v>
                </c:pt>
                <c:pt idx="60">
                  <c:v>0.85</c:v>
                </c:pt>
                <c:pt idx="61">
                  <c:v>0.9</c:v>
                </c:pt>
                <c:pt idx="62">
                  <c:v>0.95</c:v>
                </c:pt>
                <c:pt idx="63">
                  <c:v>1</c:v>
                </c:pt>
                <c:pt idx="64">
                  <c:v>1.1000000000000001</c:v>
                </c:pt>
                <c:pt idx="65">
                  <c:v>1.2</c:v>
                </c:pt>
                <c:pt idx="66">
                  <c:v>1.3</c:v>
                </c:pt>
                <c:pt idx="67">
                  <c:v>1.4</c:v>
                </c:pt>
                <c:pt idx="68">
                  <c:v>1.5</c:v>
                </c:pt>
                <c:pt idx="69">
                  <c:v>1.6</c:v>
                </c:pt>
                <c:pt idx="70">
                  <c:v>1.7</c:v>
                </c:pt>
                <c:pt idx="71">
                  <c:v>1.8</c:v>
                </c:pt>
                <c:pt idx="72">
                  <c:v>1.9</c:v>
                </c:pt>
                <c:pt idx="73">
                  <c:v>2</c:v>
                </c:pt>
                <c:pt idx="74">
                  <c:v>2.2000000000000002</c:v>
                </c:pt>
                <c:pt idx="75">
                  <c:v>2.5</c:v>
                </c:pt>
                <c:pt idx="76">
                  <c:v>2.8</c:v>
                </c:pt>
                <c:pt idx="77">
                  <c:v>3</c:v>
                </c:pt>
                <c:pt idx="78">
                  <c:v>3.5</c:v>
                </c:pt>
                <c:pt idx="79">
                  <c:v>4</c:v>
                </c:pt>
                <c:pt idx="80">
                  <c:v>4.5</c:v>
                </c:pt>
                <c:pt idx="81">
                  <c:v>5</c:v>
                </c:pt>
              </c:numCache>
            </c:numRef>
          </c:xVal>
          <c:yVal>
            <c:numRef>
              <c:f>'2026-PSA-ARMEC'!$G$3:$G$84</c:f>
              <c:numCache>
                <c:formatCode>0.00%</c:formatCode>
                <c:ptCount val="82"/>
                <c:pt idx="0">
                  <c:v>8.1600000000000006E-2</c:v>
                </c:pt>
                <c:pt idx="1">
                  <c:v>8.3599999999999994E-2</c:v>
                </c:pt>
                <c:pt idx="2">
                  <c:v>8.3599999999999994E-2</c:v>
                </c:pt>
                <c:pt idx="3">
                  <c:v>8.2600000000000007E-2</c:v>
                </c:pt>
                <c:pt idx="4">
                  <c:v>8.6699999999999999E-2</c:v>
                </c:pt>
                <c:pt idx="5">
                  <c:v>9.0800000000000006E-2</c:v>
                </c:pt>
                <c:pt idx="6">
                  <c:v>8.9700000000000002E-2</c:v>
                </c:pt>
                <c:pt idx="7">
                  <c:v>9.4799999999999995E-2</c:v>
                </c:pt>
                <c:pt idx="8">
                  <c:v>0.10199999999999999</c:v>
                </c:pt>
                <c:pt idx="9">
                  <c:v>0.12239999999999999</c:v>
                </c:pt>
                <c:pt idx="10">
                  <c:v>0.16320000000000001</c:v>
                </c:pt>
                <c:pt idx="11">
                  <c:v>0.21410000000000001</c:v>
                </c:pt>
                <c:pt idx="12">
                  <c:v>0.23449999999999999</c:v>
                </c:pt>
                <c:pt idx="13">
                  <c:v>0.30590000000000001</c:v>
                </c:pt>
                <c:pt idx="14">
                  <c:v>0.28549999999999998</c:v>
                </c:pt>
                <c:pt idx="15">
                  <c:v>0.2039</c:v>
                </c:pt>
                <c:pt idx="16">
                  <c:v>0.23960000000000001</c:v>
                </c:pt>
                <c:pt idx="17">
                  <c:v>0.24979999999999999</c:v>
                </c:pt>
                <c:pt idx="18">
                  <c:v>0.2039</c:v>
                </c:pt>
                <c:pt idx="19">
                  <c:v>0.1835</c:v>
                </c:pt>
                <c:pt idx="20">
                  <c:v>0.15809999999999999</c:v>
                </c:pt>
                <c:pt idx="21">
                  <c:v>0.17330000000000001</c:v>
                </c:pt>
                <c:pt idx="22">
                  <c:v>0.19370000000000001</c:v>
                </c:pt>
                <c:pt idx="23">
                  <c:v>0.20699999999999999</c:v>
                </c:pt>
                <c:pt idx="24">
                  <c:v>0.1988</c:v>
                </c:pt>
                <c:pt idx="25">
                  <c:v>0.1835</c:v>
                </c:pt>
                <c:pt idx="26">
                  <c:v>0.1784</c:v>
                </c:pt>
                <c:pt idx="27">
                  <c:v>0.17330000000000001</c:v>
                </c:pt>
                <c:pt idx="28">
                  <c:v>0.16520000000000001</c:v>
                </c:pt>
                <c:pt idx="29">
                  <c:v>0.2039</c:v>
                </c:pt>
                <c:pt idx="30">
                  <c:v>0.22639999999999999</c:v>
                </c:pt>
                <c:pt idx="31">
                  <c:v>0.21410000000000001</c:v>
                </c:pt>
                <c:pt idx="32">
                  <c:v>0.18859999999999999</c:v>
                </c:pt>
                <c:pt idx="33">
                  <c:v>0.1988</c:v>
                </c:pt>
                <c:pt idx="34">
                  <c:v>0.21920000000000001</c:v>
                </c:pt>
                <c:pt idx="35">
                  <c:v>0.2651</c:v>
                </c:pt>
                <c:pt idx="36">
                  <c:v>0.28039999999999998</c:v>
                </c:pt>
                <c:pt idx="37">
                  <c:v>0.29060000000000002</c:v>
                </c:pt>
                <c:pt idx="38">
                  <c:v>0.29570000000000002</c:v>
                </c:pt>
                <c:pt idx="39">
                  <c:v>0.28349999999999997</c:v>
                </c:pt>
                <c:pt idx="40">
                  <c:v>0.21410000000000001</c:v>
                </c:pt>
                <c:pt idx="41">
                  <c:v>0.19370000000000001</c:v>
                </c:pt>
                <c:pt idx="42">
                  <c:v>0.16109999999999999</c:v>
                </c:pt>
                <c:pt idx="43">
                  <c:v>0.17330000000000001</c:v>
                </c:pt>
                <c:pt idx="44">
                  <c:v>0.18149999999999999</c:v>
                </c:pt>
                <c:pt idx="45">
                  <c:v>0.16109999999999999</c:v>
                </c:pt>
                <c:pt idx="46">
                  <c:v>0.1346</c:v>
                </c:pt>
                <c:pt idx="47">
                  <c:v>0.1081</c:v>
                </c:pt>
                <c:pt idx="48">
                  <c:v>0.1071</c:v>
                </c:pt>
                <c:pt idx="49">
                  <c:v>0.11219999999999999</c:v>
                </c:pt>
                <c:pt idx="50">
                  <c:v>0.1275</c:v>
                </c:pt>
                <c:pt idx="51">
                  <c:v>0.1275</c:v>
                </c:pt>
                <c:pt idx="52">
                  <c:v>0.1326</c:v>
                </c:pt>
                <c:pt idx="53">
                  <c:v>0.1479</c:v>
                </c:pt>
                <c:pt idx="54">
                  <c:v>0.12239999999999999</c:v>
                </c:pt>
                <c:pt idx="55">
                  <c:v>0.1173</c:v>
                </c:pt>
                <c:pt idx="56">
                  <c:v>0.1173</c:v>
                </c:pt>
                <c:pt idx="57">
                  <c:v>0.10199999999999999</c:v>
                </c:pt>
                <c:pt idx="58">
                  <c:v>0.10199999999999999</c:v>
                </c:pt>
                <c:pt idx="59">
                  <c:v>0.12239999999999999</c:v>
                </c:pt>
                <c:pt idx="60">
                  <c:v>0.11219999999999999</c:v>
                </c:pt>
                <c:pt idx="61">
                  <c:v>8.3599999999999994E-2</c:v>
                </c:pt>
                <c:pt idx="62">
                  <c:v>7.1400000000000005E-2</c:v>
                </c:pt>
                <c:pt idx="63">
                  <c:v>6.1199999999999997E-2</c:v>
                </c:pt>
                <c:pt idx="64">
                  <c:v>4.2799999999999998E-2</c:v>
                </c:pt>
                <c:pt idx="65">
                  <c:v>3.5700000000000003E-2</c:v>
                </c:pt>
                <c:pt idx="66">
                  <c:v>3.6700000000000003E-2</c:v>
                </c:pt>
                <c:pt idx="67">
                  <c:v>3.3599999999999998E-2</c:v>
                </c:pt>
                <c:pt idx="68">
                  <c:v>3.6700000000000003E-2</c:v>
                </c:pt>
                <c:pt idx="69">
                  <c:v>1.84E-2</c:v>
                </c:pt>
                <c:pt idx="70">
                  <c:v>1.9400000000000001E-2</c:v>
                </c:pt>
                <c:pt idx="71">
                  <c:v>1.84E-2</c:v>
                </c:pt>
                <c:pt idx="72">
                  <c:v>1.43E-2</c:v>
                </c:pt>
                <c:pt idx="73">
                  <c:v>1.5299999999999999E-2</c:v>
                </c:pt>
                <c:pt idx="74">
                  <c:v>1.5299999999999999E-2</c:v>
                </c:pt>
                <c:pt idx="75">
                  <c:v>9.1999999999999998E-3</c:v>
                </c:pt>
                <c:pt idx="76">
                  <c:v>1.0200000000000001E-2</c:v>
                </c:pt>
                <c:pt idx="77">
                  <c:v>1.0200000000000001E-2</c:v>
                </c:pt>
                <c:pt idx="78">
                  <c:v>5.1000000000000004E-3</c:v>
                </c:pt>
                <c:pt idx="79">
                  <c:v>3.0999999999999999E-3</c:v>
                </c:pt>
                <c:pt idx="80">
                  <c:v>2E-3</c:v>
                </c:pt>
                <c:pt idx="81">
                  <c:v>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D40-4A48-871C-437B3878B2E0}"/>
            </c:ext>
          </c:extLst>
        </c:ser>
        <c:ser>
          <c:idx val="4"/>
          <c:order val="4"/>
          <c:tx>
            <c:strRef>
              <c:f>ESPECTRO_NSR10!$N$28</c:f>
              <c:strCache>
                <c:ptCount val="1"/>
                <c:pt idx="0">
                  <c:v>Espec. NSR-10, Suelo D, Aa=0.25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ESPECTRO_NSR10!$A$13:$A$65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0.70153846153846156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ESPECTRO_NSR10!$B$13:$B$65</c:f>
              <c:numCache>
                <c:formatCode>0.0000</c:formatCode>
                <c:ptCount val="53"/>
                <c:pt idx="0">
                  <c:v>0.32499999999999996</c:v>
                </c:pt>
                <c:pt idx="1">
                  <c:v>0.81249999999999989</c:v>
                </c:pt>
                <c:pt idx="2">
                  <c:v>0.81249999999999989</c:v>
                </c:pt>
                <c:pt idx="3">
                  <c:v>0.71249999999999991</c:v>
                </c:pt>
                <c:pt idx="4">
                  <c:v>0.6333333333333333</c:v>
                </c:pt>
                <c:pt idx="5">
                  <c:v>0.56999999999999995</c:v>
                </c:pt>
                <c:pt idx="6">
                  <c:v>0.51818181818181808</c:v>
                </c:pt>
                <c:pt idx="7">
                  <c:v>0.47499999999999987</c:v>
                </c:pt>
                <c:pt idx="8">
                  <c:v>0.43846153846153835</c:v>
                </c:pt>
                <c:pt idx="9">
                  <c:v>0.40714285714285703</c:v>
                </c:pt>
                <c:pt idx="10">
                  <c:v>0.37999999999999984</c:v>
                </c:pt>
                <c:pt idx="11">
                  <c:v>0.35624999999999984</c:v>
                </c:pt>
                <c:pt idx="12">
                  <c:v>0.33529411764705869</c:v>
                </c:pt>
                <c:pt idx="13">
                  <c:v>0.31666666666666654</c:v>
                </c:pt>
                <c:pt idx="14">
                  <c:v>0.29999999999999982</c:v>
                </c:pt>
                <c:pt idx="15">
                  <c:v>0.28499999999999986</c:v>
                </c:pt>
                <c:pt idx="16">
                  <c:v>0.2714285714285713</c:v>
                </c:pt>
                <c:pt idx="17">
                  <c:v>0.25909090909090893</c:v>
                </c:pt>
                <c:pt idx="18">
                  <c:v>0.24782608695652159</c:v>
                </c:pt>
                <c:pt idx="19">
                  <c:v>0.23749999999999985</c:v>
                </c:pt>
                <c:pt idx="20">
                  <c:v>0.22799999999999987</c:v>
                </c:pt>
                <c:pt idx="21">
                  <c:v>0.21923076923076909</c:v>
                </c:pt>
                <c:pt idx="22">
                  <c:v>0.21111111111111097</c:v>
                </c:pt>
                <c:pt idx="23">
                  <c:v>0.20357142857142843</c:v>
                </c:pt>
                <c:pt idx="24">
                  <c:v>0.1965517241379309</c:v>
                </c:pt>
                <c:pt idx="25">
                  <c:v>0.18999999999999986</c:v>
                </c:pt>
                <c:pt idx="26">
                  <c:v>0.18387096774193537</c:v>
                </c:pt>
                <c:pt idx="27">
                  <c:v>0.17812499999999987</c:v>
                </c:pt>
                <c:pt idx="28">
                  <c:v>0.17272727272727262</c:v>
                </c:pt>
                <c:pt idx="29">
                  <c:v>0.16764705882352929</c:v>
                </c:pt>
                <c:pt idx="30">
                  <c:v>0.16285714285714273</c:v>
                </c:pt>
                <c:pt idx="31">
                  <c:v>0.15833333333333321</c:v>
                </c:pt>
                <c:pt idx="32">
                  <c:v>0.15405405405405395</c:v>
                </c:pt>
                <c:pt idx="33">
                  <c:v>0.14999999999999988</c:v>
                </c:pt>
                <c:pt idx="34">
                  <c:v>0.14615384615384605</c:v>
                </c:pt>
                <c:pt idx="35">
                  <c:v>0.1424999999999999</c:v>
                </c:pt>
                <c:pt idx="36">
                  <c:v>0.13902439024390234</c:v>
                </c:pt>
                <c:pt idx="37">
                  <c:v>0.13571428571428565</c:v>
                </c:pt>
                <c:pt idx="38">
                  <c:v>0.13255813953488366</c:v>
                </c:pt>
                <c:pt idx="39">
                  <c:v>0.12954545454545449</c:v>
                </c:pt>
                <c:pt idx="40">
                  <c:v>0.12666666666666662</c:v>
                </c:pt>
                <c:pt idx="41">
                  <c:v>0.12283553875236292</c:v>
                </c:pt>
                <c:pt idx="42">
                  <c:v>0.1176641014033499</c:v>
                </c:pt>
                <c:pt idx="43">
                  <c:v>0.1128125</c:v>
                </c:pt>
                <c:pt idx="44">
                  <c:v>0.1082548937942524</c:v>
                </c:pt>
                <c:pt idx="45">
                  <c:v>0.10396800000000002</c:v>
                </c:pt>
                <c:pt idx="46">
                  <c:v>9.99307958477509E-2</c:v>
                </c:pt>
                <c:pt idx="47">
                  <c:v>9.6124260355029634E-2</c:v>
                </c:pt>
                <c:pt idx="48">
                  <c:v>9.2531149875400565E-2</c:v>
                </c:pt>
                <c:pt idx="49">
                  <c:v>8.9135802469135869E-2</c:v>
                </c:pt>
                <c:pt idx="50">
                  <c:v>8.5923966942148836E-2</c:v>
                </c:pt>
                <c:pt idx="51">
                  <c:v>8.2882653061224568E-2</c:v>
                </c:pt>
                <c:pt idx="52">
                  <c:v>8.0000000000000085E-2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D40-4A48-871C-437B3878B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5136"/>
        <c:axId val="378706312"/>
      </c:scatterChart>
      <c:valAx>
        <c:axId val="378705136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6312"/>
        <c:crosses val="autoZero"/>
        <c:crossBetween val="midCat"/>
      </c:valAx>
      <c:valAx>
        <c:axId val="37870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366" r="0.75000000000000366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ESPECTRO DE DISEÑO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Micro_Pereira!$D$1</c:f>
              <c:strCache>
                <c:ptCount val="1"/>
                <c:pt idx="0">
                  <c:v>ESPECTRO - MICROZONIFICACION SÍSMICA DE PEREIRA</c:v>
                </c:pt>
              </c:strCache>
            </c:strRef>
          </c:tx>
          <c:marker>
            <c:symbol val="none"/>
          </c:marker>
          <c:xVal>
            <c:numRef>
              <c:f>Micro_Pereira!$A$14:$A$49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1.2000000000000002</c:v>
                </c:pt>
                <c:pt idx="7">
                  <c:v>1.3000000000000003</c:v>
                </c:pt>
                <c:pt idx="8">
                  <c:v>1.4000000000000004</c:v>
                </c:pt>
                <c:pt idx="9">
                  <c:v>1.5000000000000004</c:v>
                </c:pt>
                <c:pt idx="10">
                  <c:v>1.6000000000000005</c:v>
                </c:pt>
                <c:pt idx="11">
                  <c:v>1.7000000000000006</c:v>
                </c:pt>
                <c:pt idx="12">
                  <c:v>1.8000000000000007</c:v>
                </c:pt>
                <c:pt idx="13">
                  <c:v>1.9000000000000008</c:v>
                </c:pt>
                <c:pt idx="14">
                  <c:v>2.0000000000000009</c:v>
                </c:pt>
                <c:pt idx="15">
                  <c:v>2.100000000000001</c:v>
                </c:pt>
                <c:pt idx="16">
                  <c:v>2.2000000000000011</c:v>
                </c:pt>
                <c:pt idx="17">
                  <c:v>2.3000000000000012</c:v>
                </c:pt>
                <c:pt idx="18">
                  <c:v>2.4000000000000012</c:v>
                </c:pt>
                <c:pt idx="19">
                  <c:v>2.5000000000000013</c:v>
                </c:pt>
                <c:pt idx="20">
                  <c:v>2.6000000000000014</c:v>
                </c:pt>
                <c:pt idx="21">
                  <c:v>2.7000000000000015</c:v>
                </c:pt>
                <c:pt idx="22">
                  <c:v>2.8000000000000016</c:v>
                </c:pt>
                <c:pt idx="23">
                  <c:v>2.9000000000000017</c:v>
                </c:pt>
                <c:pt idx="24">
                  <c:v>3.0000000000000018</c:v>
                </c:pt>
                <c:pt idx="25">
                  <c:v>3.1000000000000019</c:v>
                </c:pt>
                <c:pt idx="26">
                  <c:v>3.200000000000002</c:v>
                </c:pt>
                <c:pt idx="27">
                  <c:v>3.300000000000002</c:v>
                </c:pt>
                <c:pt idx="28">
                  <c:v>3.4000000000000021</c:v>
                </c:pt>
                <c:pt idx="29">
                  <c:v>3.5000000000000022</c:v>
                </c:pt>
                <c:pt idx="30">
                  <c:v>3.6000000000000023</c:v>
                </c:pt>
                <c:pt idx="31">
                  <c:v>3.7000000000000024</c:v>
                </c:pt>
                <c:pt idx="32">
                  <c:v>3.8000000000000025</c:v>
                </c:pt>
                <c:pt idx="33">
                  <c:v>3.9000000000000026</c:v>
                </c:pt>
                <c:pt idx="34">
                  <c:v>4.0000000000000027</c:v>
                </c:pt>
                <c:pt idx="35">
                  <c:v>4.1000000000000023</c:v>
                </c:pt>
              </c:numCache>
            </c:numRef>
          </c:xVal>
          <c:yVal>
            <c:numRef>
              <c:f>Micro_Pereira!$B$14:$B$49</c:f>
              <c:numCache>
                <c:formatCode>General</c:formatCode>
                <c:ptCount val="36"/>
                <c:pt idx="0">
                  <c:v>0.36</c:v>
                </c:pt>
                <c:pt idx="1">
                  <c:v>0.89999999999999991</c:v>
                </c:pt>
                <c:pt idx="2">
                  <c:v>0.89999999999999991</c:v>
                </c:pt>
                <c:pt idx="3">
                  <c:v>0.79999999999999993</c:v>
                </c:pt>
                <c:pt idx="4">
                  <c:v>0.72</c:v>
                </c:pt>
                <c:pt idx="5">
                  <c:v>0.65454545454545443</c:v>
                </c:pt>
                <c:pt idx="6">
                  <c:v>0.59999999999999987</c:v>
                </c:pt>
                <c:pt idx="7">
                  <c:v>0.55384615384615377</c:v>
                </c:pt>
                <c:pt idx="8">
                  <c:v>0.51428571428571412</c:v>
                </c:pt>
                <c:pt idx="9">
                  <c:v>0.47999999999999982</c:v>
                </c:pt>
                <c:pt idx="10">
                  <c:v>0.44999999999999984</c:v>
                </c:pt>
                <c:pt idx="11">
                  <c:v>0.42352941176470571</c:v>
                </c:pt>
                <c:pt idx="12">
                  <c:v>0.3999999999999998</c:v>
                </c:pt>
                <c:pt idx="13">
                  <c:v>0.37894736842105248</c:v>
                </c:pt>
                <c:pt idx="14">
                  <c:v>0.35999999999999982</c:v>
                </c:pt>
                <c:pt idx="15">
                  <c:v>0.34285714285714269</c:v>
                </c:pt>
                <c:pt idx="16">
                  <c:v>0.3272727272727271</c:v>
                </c:pt>
                <c:pt idx="17">
                  <c:v>0.31304347826086942</c:v>
                </c:pt>
                <c:pt idx="18">
                  <c:v>0.29999999999999982</c:v>
                </c:pt>
                <c:pt idx="19">
                  <c:v>0.28799999999999981</c:v>
                </c:pt>
                <c:pt idx="20">
                  <c:v>0.27692307692307677</c:v>
                </c:pt>
                <c:pt idx="21">
                  <c:v>0.2666666666666665</c:v>
                </c:pt>
                <c:pt idx="22">
                  <c:v>0.25714285714285701</c:v>
                </c:pt>
                <c:pt idx="23">
                  <c:v>0.24827586206896538</c:v>
                </c:pt>
                <c:pt idx="24">
                  <c:v>0.23999999999999985</c:v>
                </c:pt>
                <c:pt idx="25">
                  <c:v>0.23225806451612888</c:v>
                </c:pt>
                <c:pt idx="26">
                  <c:v>0.22499999999999987</c:v>
                </c:pt>
                <c:pt idx="27">
                  <c:v>0.21818181818181803</c:v>
                </c:pt>
                <c:pt idx="28">
                  <c:v>0.2117647058823528</c:v>
                </c:pt>
                <c:pt idx="29">
                  <c:v>0.20571428571428557</c:v>
                </c:pt>
                <c:pt idx="30">
                  <c:v>0.19999999999999987</c:v>
                </c:pt>
                <c:pt idx="31">
                  <c:v>0.19459459459459447</c:v>
                </c:pt>
                <c:pt idx="32">
                  <c:v>0.18947368421052618</c:v>
                </c:pt>
                <c:pt idx="33">
                  <c:v>0.18461538461538449</c:v>
                </c:pt>
                <c:pt idx="34">
                  <c:v>0.18</c:v>
                </c:pt>
                <c:pt idx="35">
                  <c:v>0.18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E7-4E18-B62A-B0A9DB4C3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2000"/>
        <c:axId val="378706704"/>
      </c:scatterChart>
      <c:valAx>
        <c:axId val="378702000"/>
        <c:scaling>
          <c:orientation val="minMax"/>
        </c:scaling>
        <c:delete val="0"/>
        <c:axPos val="b"/>
        <c:majorGridlines/>
        <c:min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78706704"/>
        <c:crosses val="autoZero"/>
        <c:crossBetween val="midCat"/>
      </c:valAx>
      <c:valAx>
        <c:axId val="378706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7870200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Lucida Sans" pitchFamily="34" charset="0"/>
        </a:defRPr>
      </a:pPr>
      <a:endParaRPr lang="en-US"/>
    </a:p>
  </c:txPr>
  <c:printSettings>
    <c:headerFooter alignWithMargins="0"/>
    <c:pageMargins b="1" l="0.75000000000000389" r="0.75000000000000389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ESPECTRO DE DISEÑO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Micro_Manizales!$D$1</c:f>
              <c:strCache>
                <c:ptCount val="1"/>
                <c:pt idx="0">
                  <c:v>ESPECTRO - MICROZONIFICACION SÍSMICA DE PEREIRA</c:v>
                </c:pt>
              </c:strCache>
            </c:strRef>
          </c:tx>
          <c:marker>
            <c:symbol val="none"/>
          </c:marker>
          <c:xVal>
            <c:numRef>
              <c:f>Micro_Manizales!$A$14:$A$49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0.65</c:v>
                </c:pt>
                <c:pt idx="3">
                  <c:v>0.7</c:v>
                </c:pt>
                <c:pt idx="4">
                  <c:v>0.79999999999999993</c:v>
                </c:pt>
                <c:pt idx="5">
                  <c:v>0.89999999999999991</c:v>
                </c:pt>
                <c:pt idx="6">
                  <c:v>0.99999999999999989</c:v>
                </c:pt>
                <c:pt idx="7">
                  <c:v>1.0999999999999999</c:v>
                </c:pt>
                <c:pt idx="8">
                  <c:v>1.2</c:v>
                </c:pt>
                <c:pt idx="9">
                  <c:v>1.3</c:v>
                </c:pt>
                <c:pt idx="10">
                  <c:v>1.4000000000000001</c:v>
                </c:pt>
                <c:pt idx="11">
                  <c:v>1.5000000000000002</c:v>
                </c:pt>
                <c:pt idx="12">
                  <c:v>1.6000000000000003</c:v>
                </c:pt>
                <c:pt idx="13">
                  <c:v>1.7000000000000004</c:v>
                </c:pt>
                <c:pt idx="14">
                  <c:v>1.8000000000000005</c:v>
                </c:pt>
                <c:pt idx="15">
                  <c:v>1.9000000000000006</c:v>
                </c:pt>
                <c:pt idx="16">
                  <c:v>2.0000000000000004</c:v>
                </c:pt>
                <c:pt idx="17">
                  <c:v>2.1000000000000005</c:v>
                </c:pt>
                <c:pt idx="18">
                  <c:v>2.2000000000000006</c:v>
                </c:pt>
                <c:pt idx="19">
                  <c:v>2.3000000000000007</c:v>
                </c:pt>
                <c:pt idx="20">
                  <c:v>2.4000000000000008</c:v>
                </c:pt>
                <c:pt idx="21">
                  <c:v>2.5000000000000009</c:v>
                </c:pt>
                <c:pt idx="22">
                  <c:v>2.600000000000001</c:v>
                </c:pt>
                <c:pt idx="23">
                  <c:v>2.7000000000000011</c:v>
                </c:pt>
                <c:pt idx="24">
                  <c:v>2.8000000000000012</c:v>
                </c:pt>
                <c:pt idx="25">
                  <c:v>2.9000000000000012</c:v>
                </c:pt>
                <c:pt idx="26">
                  <c:v>3.0000000000000013</c:v>
                </c:pt>
                <c:pt idx="27">
                  <c:v>3.1000000000000014</c:v>
                </c:pt>
                <c:pt idx="28">
                  <c:v>3.2000000000000015</c:v>
                </c:pt>
                <c:pt idx="29">
                  <c:v>3.3000000000000016</c:v>
                </c:pt>
                <c:pt idx="30">
                  <c:v>3.4000000000000017</c:v>
                </c:pt>
                <c:pt idx="31">
                  <c:v>3.5000000000000018</c:v>
                </c:pt>
                <c:pt idx="32">
                  <c:v>3.6000000000000019</c:v>
                </c:pt>
                <c:pt idx="33">
                  <c:v>3.700000000000002</c:v>
                </c:pt>
                <c:pt idx="34">
                  <c:v>3.800000000000002</c:v>
                </c:pt>
                <c:pt idx="35">
                  <c:v>3.9000000000000021</c:v>
                </c:pt>
              </c:numCache>
            </c:numRef>
          </c:xVal>
          <c:yVal>
            <c:numRef>
              <c:f>Micro_Manizales!$B$14:$B$49</c:f>
              <c:numCache>
                <c:formatCode>General</c:formatCode>
                <c:ptCount val="36"/>
                <c:pt idx="0">
                  <c:v>0.44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1.0245714285714285</c:v>
                </c:pt>
                <c:pt idx="4">
                  <c:v>0.89649999999999996</c:v>
                </c:pt>
                <c:pt idx="5">
                  <c:v>0.79688888888888887</c:v>
                </c:pt>
                <c:pt idx="6">
                  <c:v>0.71720000000000006</c:v>
                </c:pt>
                <c:pt idx="7">
                  <c:v>0.65200000000000002</c:v>
                </c:pt>
                <c:pt idx="8">
                  <c:v>0.59766666666666668</c:v>
                </c:pt>
                <c:pt idx="9">
                  <c:v>0.55169230769230759</c:v>
                </c:pt>
                <c:pt idx="10">
                  <c:v>0.51228571428571423</c:v>
                </c:pt>
                <c:pt idx="11">
                  <c:v>0.47813333333333324</c:v>
                </c:pt>
                <c:pt idx="12">
                  <c:v>0.44824999999999987</c:v>
                </c:pt>
                <c:pt idx="13">
                  <c:v>0.42188235294117632</c:v>
                </c:pt>
                <c:pt idx="14">
                  <c:v>0.39844444444444432</c:v>
                </c:pt>
                <c:pt idx="15">
                  <c:v>0.37747368421052618</c:v>
                </c:pt>
                <c:pt idx="16">
                  <c:v>0.35859999999999992</c:v>
                </c:pt>
                <c:pt idx="17">
                  <c:v>0.3415238095238094</c:v>
                </c:pt>
                <c:pt idx="18">
                  <c:v>0.3259999999999999</c:v>
                </c:pt>
                <c:pt idx="19">
                  <c:v>0.31182608695652164</c:v>
                </c:pt>
                <c:pt idx="20">
                  <c:v>0.29883333333333323</c:v>
                </c:pt>
                <c:pt idx="21">
                  <c:v>0.28687999999999986</c:v>
                </c:pt>
                <c:pt idx="22">
                  <c:v>0.27584615384615374</c:v>
                </c:pt>
                <c:pt idx="23">
                  <c:v>0.26562962962962949</c:v>
                </c:pt>
                <c:pt idx="24">
                  <c:v>0.25614285714285701</c:v>
                </c:pt>
                <c:pt idx="25">
                  <c:v>0.24731034482758607</c:v>
                </c:pt>
                <c:pt idx="26">
                  <c:v>0.23906666666666654</c:v>
                </c:pt>
                <c:pt idx="27">
                  <c:v>0.2313548387096773</c:v>
                </c:pt>
                <c:pt idx="28">
                  <c:v>0.22412499999999988</c:v>
                </c:pt>
                <c:pt idx="29">
                  <c:v>0.22</c:v>
                </c:pt>
                <c:pt idx="30">
                  <c:v>0.22</c:v>
                </c:pt>
                <c:pt idx="31">
                  <c:v>0.22</c:v>
                </c:pt>
                <c:pt idx="32">
                  <c:v>0.22</c:v>
                </c:pt>
                <c:pt idx="33">
                  <c:v>0.22</c:v>
                </c:pt>
                <c:pt idx="34">
                  <c:v>0.22</c:v>
                </c:pt>
                <c:pt idx="35">
                  <c:v>0.22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EE-4C27-8C10-7B6D47C8F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2000"/>
        <c:axId val="378706704"/>
      </c:scatterChart>
      <c:valAx>
        <c:axId val="378702000"/>
        <c:scaling>
          <c:orientation val="minMax"/>
        </c:scaling>
        <c:delete val="0"/>
        <c:axPos val="b"/>
        <c:majorGridlines/>
        <c:min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78706704"/>
        <c:crosses val="autoZero"/>
        <c:crossBetween val="midCat"/>
      </c:valAx>
      <c:valAx>
        <c:axId val="378706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7870200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Lucida Sans" pitchFamily="34" charset="0"/>
        </a:defRPr>
      </a:pPr>
      <a:endParaRPr lang="en-US"/>
    </a:p>
  </c:txPr>
  <c:printSettings>
    <c:headerFooter alignWithMargins="0"/>
    <c:pageMargins b="1" l="0.75000000000000389" r="0.75000000000000389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s-ES" sz="1400" b="1"/>
              <a:t>ESPECTRO DE SEUDOACELERACIÓN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ESPECTRO_CCP2014!$D$1</c:f>
              <c:strCache>
                <c:ptCount val="1"/>
                <c:pt idx="0">
                  <c:v>ESPECTRO - CCP-2014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ESPECTRO_CCP2014!$A$11:$A$63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0.73076923076923084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ESPECTRO_CCP2014!$B$11:$B$63</c:f>
              <c:numCache>
                <c:formatCode>0.0000</c:formatCode>
                <c:ptCount val="53"/>
                <c:pt idx="0">
                  <c:v>0.32499999999999996</c:v>
                </c:pt>
                <c:pt idx="1">
                  <c:v>0.78</c:v>
                </c:pt>
                <c:pt idx="2">
                  <c:v>0.77999999999999992</c:v>
                </c:pt>
                <c:pt idx="3">
                  <c:v>0.71249999999999991</c:v>
                </c:pt>
                <c:pt idx="4">
                  <c:v>0.6333333333333333</c:v>
                </c:pt>
                <c:pt idx="5">
                  <c:v>0.56999999999999995</c:v>
                </c:pt>
                <c:pt idx="6">
                  <c:v>0.51818181818181808</c:v>
                </c:pt>
                <c:pt idx="7">
                  <c:v>0.47499999999999987</c:v>
                </c:pt>
                <c:pt idx="8">
                  <c:v>0.43846153846153835</c:v>
                </c:pt>
                <c:pt idx="9">
                  <c:v>0.40714285714285703</c:v>
                </c:pt>
                <c:pt idx="10">
                  <c:v>0.37999999999999984</c:v>
                </c:pt>
                <c:pt idx="11">
                  <c:v>0.35624999999999984</c:v>
                </c:pt>
                <c:pt idx="12">
                  <c:v>0.33529411764705869</c:v>
                </c:pt>
                <c:pt idx="13">
                  <c:v>0.31666666666666654</c:v>
                </c:pt>
                <c:pt idx="14">
                  <c:v>0.29999999999999982</c:v>
                </c:pt>
                <c:pt idx="15">
                  <c:v>0.28499999999999986</c:v>
                </c:pt>
                <c:pt idx="16">
                  <c:v>0.2714285714285713</c:v>
                </c:pt>
                <c:pt idx="17">
                  <c:v>0.25909090909090893</c:v>
                </c:pt>
                <c:pt idx="18">
                  <c:v>0.24782608695652159</c:v>
                </c:pt>
                <c:pt idx="19">
                  <c:v>0.23749999999999985</c:v>
                </c:pt>
                <c:pt idx="20">
                  <c:v>0.22799999999999987</c:v>
                </c:pt>
                <c:pt idx="21">
                  <c:v>0.21923076923076909</c:v>
                </c:pt>
                <c:pt idx="22">
                  <c:v>0.21111111111111097</c:v>
                </c:pt>
                <c:pt idx="23">
                  <c:v>0.20357142857142843</c:v>
                </c:pt>
                <c:pt idx="24">
                  <c:v>0.1965517241379309</c:v>
                </c:pt>
                <c:pt idx="25">
                  <c:v>0.18999999999999986</c:v>
                </c:pt>
                <c:pt idx="26">
                  <c:v>0.18387096774193537</c:v>
                </c:pt>
                <c:pt idx="27">
                  <c:v>0.17812499999999987</c:v>
                </c:pt>
                <c:pt idx="28">
                  <c:v>0.17272727272727262</c:v>
                </c:pt>
                <c:pt idx="29">
                  <c:v>0.16764705882352929</c:v>
                </c:pt>
                <c:pt idx="30">
                  <c:v>0.16285714285714273</c:v>
                </c:pt>
                <c:pt idx="31">
                  <c:v>0.15833333333333321</c:v>
                </c:pt>
                <c:pt idx="32">
                  <c:v>0.15405405405405395</c:v>
                </c:pt>
                <c:pt idx="33">
                  <c:v>0.14999999999999988</c:v>
                </c:pt>
                <c:pt idx="34">
                  <c:v>0.14615384615384605</c:v>
                </c:pt>
                <c:pt idx="35">
                  <c:v>0.1424999999999999</c:v>
                </c:pt>
                <c:pt idx="36">
                  <c:v>0.13902439024390234</c:v>
                </c:pt>
                <c:pt idx="37">
                  <c:v>0.13571428571428565</c:v>
                </c:pt>
                <c:pt idx="38">
                  <c:v>0.13255813953488366</c:v>
                </c:pt>
                <c:pt idx="39">
                  <c:v>0.12954545454545449</c:v>
                </c:pt>
                <c:pt idx="40">
                  <c:v>0.12666666666666662</c:v>
                </c:pt>
                <c:pt idx="41">
                  <c:v>0.12391304347826085</c:v>
                </c:pt>
                <c:pt idx="42">
                  <c:v>0.12127659574468083</c:v>
                </c:pt>
                <c:pt idx="43">
                  <c:v>0.11874999999999999</c:v>
                </c:pt>
                <c:pt idx="44">
                  <c:v>0.1163265306122449</c:v>
                </c:pt>
                <c:pt idx="45">
                  <c:v>0.114</c:v>
                </c:pt>
                <c:pt idx="46">
                  <c:v>0.11176470588235296</c:v>
                </c:pt>
                <c:pt idx="47">
                  <c:v>0.10961538461538464</c:v>
                </c:pt>
                <c:pt idx="48">
                  <c:v>0.10754716981132079</c:v>
                </c:pt>
                <c:pt idx="49">
                  <c:v>0.1055555555555556</c:v>
                </c:pt>
                <c:pt idx="50">
                  <c:v>0.10363636363636368</c:v>
                </c:pt>
                <c:pt idx="51">
                  <c:v>0.10178571428571433</c:v>
                </c:pt>
                <c:pt idx="52">
                  <c:v>0.10000000000000005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C9-4406-B474-F3CA1F71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79840"/>
        <c:axId val="139381376"/>
      </c:scatterChart>
      <c:valAx>
        <c:axId val="139379840"/>
        <c:scaling>
          <c:orientation val="minMax"/>
        </c:scaling>
        <c:delete val="0"/>
        <c:axPos val="b"/>
        <c:majorGridlines>
          <c:spPr>
            <a:ln w="0"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9381376"/>
        <c:crosses val="autoZero"/>
        <c:crossBetween val="midCat"/>
      </c:valAx>
      <c:valAx>
        <c:axId val="139381376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937984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Lucida Sans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0344" r="0.75000000000000344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s-ES" sz="1400" b="1"/>
              <a:t>ESPECTRO REDUCIDO</a:t>
            </a:r>
            <a:r>
              <a:rPr lang="es-ES" sz="1400" b="1" baseline="0"/>
              <a:t> </a:t>
            </a:r>
            <a:r>
              <a:rPr lang="es-ES" sz="1400" b="1"/>
              <a:t>DE SEUDOACELERACIÓN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ESPECTRO_CCP2014!$D$1</c:f>
              <c:strCache>
                <c:ptCount val="1"/>
                <c:pt idx="0">
                  <c:v>ESPECTRO - CCP-2014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ESPECTRO_CCP2014!$A$11:$A$63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0.73076923076923084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ESPECTRO_CCP2014!$D$11:$D$63</c:f>
              <c:numCache>
                <c:formatCode>General</c:formatCode>
                <c:ptCount val="53"/>
                <c:pt idx="0">
                  <c:v>0.32499999999999996</c:v>
                </c:pt>
                <c:pt idx="1">
                  <c:v>0.52</c:v>
                </c:pt>
                <c:pt idx="2">
                  <c:v>0.51999999999999991</c:v>
                </c:pt>
                <c:pt idx="3">
                  <c:v>0.47499999999999992</c:v>
                </c:pt>
                <c:pt idx="4">
                  <c:v>0.42222222222222222</c:v>
                </c:pt>
                <c:pt idx="5">
                  <c:v>0.37999999999999995</c:v>
                </c:pt>
                <c:pt idx="6">
                  <c:v>0.3454545454545454</c:v>
                </c:pt>
                <c:pt idx="7">
                  <c:v>0.3166666666666666</c:v>
                </c:pt>
                <c:pt idx="8">
                  <c:v>0.29230769230769221</c:v>
                </c:pt>
                <c:pt idx="9">
                  <c:v>0.27142857142857135</c:v>
                </c:pt>
                <c:pt idx="10">
                  <c:v>0.25333333333333324</c:v>
                </c:pt>
                <c:pt idx="11">
                  <c:v>0.23749999999999991</c:v>
                </c:pt>
                <c:pt idx="12">
                  <c:v>0.22352941176470578</c:v>
                </c:pt>
                <c:pt idx="13">
                  <c:v>0.21111111111111103</c:v>
                </c:pt>
                <c:pt idx="14">
                  <c:v>0.19999999999999987</c:v>
                </c:pt>
                <c:pt idx="15">
                  <c:v>0.18999999999999992</c:v>
                </c:pt>
                <c:pt idx="16">
                  <c:v>0.18095238095238086</c:v>
                </c:pt>
                <c:pt idx="17">
                  <c:v>0.17272727272727262</c:v>
                </c:pt>
                <c:pt idx="18">
                  <c:v>0.16521739130434773</c:v>
                </c:pt>
                <c:pt idx="19">
                  <c:v>0.15833333333333324</c:v>
                </c:pt>
                <c:pt idx="20">
                  <c:v>0.15199999999999991</c:v>
                </c:pt>
                <c:pt idx="21">
                  <c:v>0.14615384615384605</c:v>
                </c:pt>
                <c:pt idx="22">
                  <c:v>0.14074074074074064</c:v>
                </c:pt>
                <c:pt idx="23">
                  <c:v>0.13571428571428562</c:v>
                </c:pt>
                <c:pt idx="24">
                  <c:v>0.13103448275862059</c:v>
                </c:pt>
                <c:pt idx="25">
                  <c:v>0.12666666666666657</c:v>
                </c:pt>
                <c:pt idx="26">
                  <c:v>0.12258064516129025</c:v>
                </c:pt>
                <c:pt idx="27">
                  <c:v>0.11874999999999991</c:v>
                </c:pt>
                <c:pt idx="28">
                  <c:v>0.11515151515151507</c:v>
                </c:pt>
                <c:pt idx="29">
                  <c:v>0.11176470588235286</c:v>
                </c:pt>
                <c:pt idx="30">
                  <c:v>0.10857142857142849</c:v>
                </c:pt>
                <c:pt idx="31">
                  <c:v>0.10555555555555547</c:v>
                </c:pt>
                <c:pt idx="32">
                  <c:v>0.10270270270270264</c:v>
                </c:pt>
                <c:pt idx="33">
                  <c:v>9.9999999999999922E-2</c:v>
                </c:pt>
                <c:pt idx="34">
                  <c:v>9.7435897435897367E-2</c:v>
                </c:pt>
                <c:pt idx="35">
                  <c:v>9.4999999999999932E-2</c:v>
                </c:pt>
                <c:pt idx="36">
                  <c:v>9.2682926829268222E-2</c:v>
                </c:pt>
                <c:pt idx="37">
                  <c:v>9.0476190476190432E-2</c:v>
                </c:pt>
                <c:pt idx="38">
                  <c:v>8.8372093023255771E-2</c:v>
                </c:pt>
                <c:pt idx="39">
                  <c:v>8.6363636363636323E-2</c:v>
                </c:pt>
                <c:pt idx="40">
                  <c:v>8.4444444444444419E-2</c:v>
                </c:pt>
                <c:pt idx="41">
                  <c:v>8.2608695652173894E-2</c:v>
                </c:pt>
                <c:pt idx="42">
                  <c:v>8.0851063829787226E-2</c:v>
                </c:pt>
                <c:pt idx="43">
                  <c:v>7.9166666666666663E-2</c:v>
                </c:pt>
                <c:pt idx="44">
                  <c:v>7.7551020408163265E-2</c:v>
                </c:pt>
                <c:pt idx="45">
                  <c:v>7.5999999999999998E-2</c:v>
                </c:pt>
                <c:pt idx="46">
                  <c:v>7.450980392156864E-2</c:v>
                </c:pt>
                <c:pt idx="47">
                  <c:v>7.3076923076923095E-2</c:v>
                </c:pt>
                <c:pt idx="48">
                  <c:v>7.1698113207547196E-2</c:v>
                </c:pt>
                <c:pt idx="49">
                  <c:v>7.0370370370370403E-2</c:v>
                </c:pt>
                <c:pt idx="50">
                  <c:v>6.9090909090909119E-2</c:v>
                </c:pt>
                <c:pt idx="51">
                  <c:v>6.785714285714288E-2</c:v>
                </c:pt>
                <c:pt idx="52">
                  <c:v>6.6666666666666693E-2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C2-43F2-9312-B9B881505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860608"/>
        <c:axId val="139903360"/>
      </c:scatterChart>
      <c:valAx>
        <c:axId val="139860608"/>
        <c:scaling>
          <c:orientation val="minMax"/>
        </c:scaling>
        <c:delete val="0"/>
        <c:axPos val="b"/>
        <c:majorGridlines>
          <c:spPr>
            <a:ln w="0"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9903360"/>
        <c:crosses val="autoZero"/>
        <c:crossBetween val="midCat"/>
      </c:valAx>
      <c:valAx>
        <c:axId val="139903360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986060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Lucida Sans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0344" r="0.75000000000000344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ESPECTRO DE</a:t>
            </a:r>
            <a:r>
              <a:rPr lang="es-ES" baseline="0"/>
              <a:t> SEUDOACELERACIÓN</a:t>
            </a:r>
            <a:endParaRPr lang="es-ES"/>
          </a:p>
        </c:rich>
      </c:tx>
      <c:layout>
        <c:manualLayout>
          <c:xMode val="edge"/>
          <c:yMode val="edge"/>
          <c:x val="0.32126720585266866"/>
          <c:y val="3.5820895522388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409411024151"/>
          <c:y val="0.18507462686567164"/>
          <c:w val="0.82126787558756753"/>
          <c:h val="0.66999152734067935"/>
        </c:manualLayout>
      </c:layout>
      <c:scatterChart>
        <c:scatterStyle val="lineMarker"/>
        <c:varyColors val="0"/>
        <c:ser>
          <c:idx val="0"/>
          <c:order val="0"/>
          <c:tx>
            <c:v>Armenia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Micro_Bogotá_ESPEC!$A$15:$A$50</c:f>
              <c:numCache>
                <c:formatCode>General</c:formatCode>
                <c:ptCount val="36"/>
                <c:pt idx="0">
                  <c:v>0</c:v>
                </c:pt>
                <c:pt idx="1">
                  <c:v>0.16</c:v>
                </c:pt>
                <c:pt idx="2">
                  <c:v>1.77</c:v>
                </c:pt>
                <c:pt idx="3">
                  <c:v>1.8</c:v>
                </c:pt>
                <c:pt idx="4">
                  <c:v>1.9000000000000001</c:v>
                </c:pt>
                <c:pt idx="5">
                  <c:v>2</c:v>
                </c:pt>
                <c:pt idx="6">
                  <c:v>2.1</c:v>
                </c:pt>
                <c:pt idx="7">
                  <c:v>2.2000000000000002</c:v>
                </c:pt>
                <c:pt idx="8">
                  <c:v>2.3000000000000003</c:v>
                </c:pt>
                <c:pt idx="9">
                  <c:v>2.4000000000000004</c:v>
                </c:pt>
                <c:pt idx="10">
                  <c:v>2.5000000000000004</c:v>
                </c:pt>
                <c:pt idx="11">
                  <c:v>2.6000000000000005</c:v>
                </c:pt>
                <c:pt idx="12">
                  <c:v>2.7000000000000006</c:v>
                </c:pt>
                <c:pt idx="13">
                  <c:v>2.8000000000000007</c:v>
                </c:pt>
                <c:pt idx="14">
                  <c:v>2.9000000000000008</c:v>
                </c:pt>
                <c:pt idx="15">
                  <c:v>3.0000000000000009</c:v>
                </c:pt>
                <c:pt idx="16">
                  <c:v>3.100000000000001</c:v>
                </c:pt>
                <c:pt idx="17">
                  <c:v>3.2000000000000011</c:v>
                </c:pt>
                <c:pt idx="18">
                  <c:v>3.3000000000000012</c:v>
                </c:pt>
                <c:pt idx="19">
                  <c:v>3.4000000000000012</c:v>
                </c:pt>
                <c:pt idx="20">
                  <c:v>3.5000000000000013</c:v>
                </c:pt>
                <c:pt idx="21">
                  <c:v>3.6000000000000014</c:v>
                </c:pt>
                <c:pt idx="22">
                  <c:v>3.7000000000000015</c:v>
                </c:pt>
                <c:pt idx="23">
                  <c:v>3.8000000000000016</c:v>
                </c:pt>
                <c:pt idx="24">
                  <c:v>3.9000000000000017</c:v>
                </c:pt>
                <c:pt idx="25">
                  <c:v>4.0000000000000018</c:v>
                </c:pt>
                <c:pt idx="26">
                  <c:v>4.1000000000000014</c:v>
                </c:pt>
                <c:pt idx="27">
                  <c:v>4.2000000000000011</c:v>
                </c:pt>
                <c:pt idx="28">
                  <c:v>4.3000000000000007</c:v>
                </c:pt>
                <c:pt idx="29">
                  <c:v>4.4000000000000004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4.6999999999999993</c:v>
                </c:pt>
                <c:pt idx="33">
                  <c:v>4.7999999999999989</c:v>
                </c:pt>
                <c:pt idx="34">
                  <c:v>4.8999999999999986</c:v>
                </c:pt>
                <c:pt idx="35">
                  <c:v>4.9999999999999982</c:v>
                </c:pt>
              </c:numCache>
            </c:numRef>
          </c:xVal>
          <c:yVal>
            <c:numRef>
              <c:f>Micro_Bogotá_ESPEC!$B$15:$B$50</c:f>
              <c:numCache>
                <c:formatCode>General</c:formatCode>
                <c:ptCount val="36"/>
                <c:pt idx="0">
                  <c:v>0.39375000000000004</c:v>
                </c:pt>
                <c:pt idx="1">
                  <c:v>0.39375000000000004</c:v>
                </c:pt>
                <c:pt idx="2">
                  <c:v>0.39375000000000004</c:v>
                </c:pt>
                <c:pt idx="3">
                  <c:v>0.3866666666666666</c:v>
                </c:pt>
                <c:pt idx="4">
                  <c:v>0.36631578947368415</c:v>
                </c:pt>
                <c:pt idx="5">
                  <c:v>0.34799999999999998</c:v>
                </c:pt>
                <c:pt idx="6">
                  <c:v>0.33142857142857141</c:v>
                </c:pt>
                <c:pt idx="7">
                  <c:v>0.31636363636363629</c:v>
                </c:pt>
                <c:pt idx="8">
                  <c:v>0.30260869565217385</c:v>
                </c:pt>
                <c:pt idx="9">
                  <c:v>0.28999999999999992</c:v>
                </c:pt>
                <c:pt idx="10">
                  <c:v>0.27839999999999993</c:v>
                </c:pt>
                <c:pt idx="11">
                  <c:v>0.26769230769230762</c:v>
                </c:pt>
                <c:pt idx="12">
                  <c:v>0.25777777777777772</c:v>
                </c:pt>
                <c:pt idx="13">
                  <c:v>0.2485714285714285</c:v>
                </c:pt>
                <c:pt idx="14">
                  <c:v>0.23999999999999991</c:v>
                </c:pt>
                <c:pt idx="15">
                  <c:v>0.23199999999999993</c:v>
                </c:pt>
                <c:pt idx="16">
                  <c:v>0.22451612903225798</c:v>
                </c:pt>
                <c:pt idx="17">
                  <c:v>0.21749999999999992</c:v>
                </c:pt>
                <c:pt idx="18">
                  <c:v>0.21090909090909082</c:v>
                </c:pt>
                <c:pt idx="19">
                  <c:v>0.2047058823529411</c:v>
                </c:pt>
                <c:pt idx="20">
                  <c:v>0.19885714285714276</c:v>
                </c:pt>
                <c:pt idx="21">
                  <c:v>0.19333333333333325</c:v>
                </c:pt>
                <c:pt idx="22">
                  <c:v>0.18810810810810802</c:v>
                </c:pt>
                <c:pt idx="23">
                  <c:v>0.18315789473684202</c:v>
                </c:pt>
                <c:pt idx="24">
                  <c:v>0.17846153846153837</c:v>
                </c:pt>
                <c:pt idx="25">
                  <c:v>0.1739999999999999</c:v>
                </c:pt>
                <c:pt idx="26">
                  <c:v>0.16975609756097554</c:v>
                </c:pt>
                <c:pt idx="27">
                  <c:v>0.16571428571428565</c:v>
                </c:pt>
                <c:pt idx="28">
                  <c:v>0.16186046511627902</c:v>
                </c:pt>
                <c:pt idx="29">
                  <c:v>0.15818181818181815</c:v>
                </c:pt>
                <c:pt idx="30">
                  <c:v>0.15466666666666665</c:v>
                </c:pt>
                <c:pt idx="31">
                  <c:v>0.15130434782608695</c:v>
                </c:pt>
                <c:pt idx="32">
                  <c:v>0.14808510638297873</c:v>
                </c:pt>
                <c:pt idx="33">
                  <c:v>0.14500000000000002</c:v>
                </c:pt>
                <c:pt idx="34">
                  <c:v>0.14204081632653065</c:v>
                </c:pt>
                <c:pt idx="35">
                  <c:v>0.13920000000000005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A2-4896-A4CF-30A1E94D1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152704"/>
        <c:axId val="262153488"/>
      </c:scatterChart>
      <c:valAx>
        <c:axId val="262152704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lang="es-E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T (seg)</a:t>
                </a:r>
              </a:p>
            </c:rich>
          </c:tx>
          <c:layout>
            <c:manualLayout>
              <c:xMode val="edge"/>
              <c:yMode val="edge"/>
              <c:x val="0.50452544238421815"/>
              <c:y val="0.917510031578612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2153488"/>
        <c:crosses val="autoZero"/>
        <c:crossBetween val="midCat"/>
      </c:valAx>
      <c:valAx>
        <c:axId val="262153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E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Sa</a:t>
                </a:r>
              </a:p>
            </c:rich>
          </c:tx>
          <c:layout>
            <c:manualLayout>
              <c:xMode val="edge"/>
              <c:yMode val="edge"/>
              <c:x val="1.1277095036017752E-2"/>
              <c:y val="0.428176255613450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215270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33" r="0.75000000000000733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ESPECTRO DE</a:t>
            </a:r>
            <a:r>
              <a:rPr lang="es-ES" baseline="0"/>
              <a:t> SEUDOACELERACIÓN REDUCIDO</a:t>
            </a:r>
            <a:endParaRPr lang="es-ES"/>
          </a:p>
        </c:rich>
      </c:tx>
      <c:layout>
        <c:manualLayout>
          <c:xMode val="edge"/>
          <c:yMode val="edge"/>
          <c:x val="0.32126720585266877"/>
          <c:y val="3.5820895522388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409411024154"/>
          <c:y val="0.18507462686567164"/>
          <c:w val="0.82126787558756753"/>
          <c:h val="0.6572662372312027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Micro_Bogotá_ESPEC!$A$15:$A$50</c:f>
              <c:numCache>
                <c:formatCode>General</c:formatCode>
                <c:ptCount val="36"/>
                <c:pt idx="0">
                  <c:v>0</c:v>
                </c:pt>
                <c:pt idx="1">
                  <c:v>0.16</c:v>
                </c:pt>
                <c:pt idx="2">
                  <c:v>1.77</c:v>
                </c:pt>
                <c:pt idx="3">
                  <c:v>1.8</c:v>
                </c:pt>
                <c:pt idx="4">
                  <c:v>1.9000000000000001</c:v>
                </c:pt>
                <c:pt idx="5">
                  <c:v>2</c:v>
                </c:pt>
                <c:pt idx="6">
                  <c:v>2.1</c:v>
                </c:pt>
                <c:pt idx="7">
                  <c:v>2.2000000000000002</c:v>
                </c:pt>
                <c:pt idx="8">
                  <c:v>2.3000000000000003</c:v>
                </c:pt>
                <c:pt idx="9">
                  <c:v>2.4000000000000004</c:v>
                </c:pt>
                <c:pt idx="10">
                  <c:v>2.5000000000000004</c:v>
                </c:pt>
                <c:pt idx="11">
                  <c:v>2.6000000000000005</c:v>
                </c:pt>
                <c:pt idx="12">
                  <c:v>2.7000000000000006</c:v>
                </c:pt>
                <c:pt idx="13">
                  <c:v>2.8000000000000007</c:v>
                </c:pt>
                <c:pt idx="14">
                  <c:v>2.9000000000000008</c:v>
                </c:pt>
                <c:pt idx="15">
                  <c:v>3.0000000000000009</c:v>
                </c:pt>
                <c:pt idx="16">
                  <c:v>3.100000000000001</c:v>
                </c:pt>
                <c:pt idx="17">
                  <c:v>3.2000000000000011</c:v>
                </c:pt>
                <c:pt idx="18">
                  <c:v>3.3000000000000012</c:v>
                </c:pt>
                <c:pt idx="19">
                  <c:v>3.4000000000000012</c:v>
                </c:pt>
                <c:pt idx="20">
                  <c:v>3.5000000000000013</c:v>
                </c:pt>
                <c:pt idx="21">
                  <c:v>3.6000000000000014</c:v>
                </c:pt>
                <c:pt idx="22">
                  <c:v>3.7000000000000015</c:v>
                </c:pt>
                <c:pt idx="23">
                  <c:v>3.8000000000000016</c:v>
                </c:pt>
                <c:pt idx="24">
                  <c:v>3.9000000000000017</c:v>
                </c:pt>
                <c:pt idx="25">
                  <c:v>4.0000000000000018</c:v>
                </c:pt>
                <c:pt idx="26">
                  <c:v>4.1000000000000014</c:v>
                </c:pt>
                <c:pt idx="27">
                  <c:v>4.2000000000000011</c:v>
                </c:pt>
                <c:pt idx="28">
                  <c:v>4.3000000000000007</c:v>
                </c:pt>
                <c:pt idx="29">
                  <c:v>4.4000000000000004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4.6999999999999993</c:v>
                </c:pt>
                <c:pt idx="33">
                  <c:v>4.7999999999999989</c:v>
                </c:pt>
                <c:pt idx="34">
                  <c:v>4.8999999999999986</c:v>
                </c:pt>
                <c:pt idx="35">
                  <c:v>4.9999999999999982</c:v>
                </c:pt>
              </c:numCache>
            </c:numRef>
          </c:xVal>
          <c:yVal>
            <c:numRef>
              <c:f>Micro_Bogotá_ESPEC!$D$15:$D$50</c:f>
              <c:numCache>
                <c:formatCode>General</c:formatCode>
                <c:ptCount val="36"/>
                <c:pt idx="0">
                  <c:v>0.39375000000000004</c:v>
                </c:pt>
                <c:pt idx="1">
                  <c:v>0.26250000000000001</c:v>
                </c:pt>
                <c:pt idx="2">
                  <c:v>0.26250000000000001</c:v>
                </c:pt>
                <c:pt idx="3">
                  <c:v>0.25777777777777772</c:v>
                </c:pt>
                <c:pt idx="4">
                  <c:v>0.24421052631578943</c:v>
                </c:pt>
                <c:pt idx="5">
                  <c:v>0.23199999999999998</c:v>
                </c:pt>
                <c:pt idx="6">
                  <c:v>0.22095238095238093</c:v>
                </c:pt>
                <c:pt idx="7">
                  <c:v>0.21090909090909085</c:v>
                </c:pt>
                <c:pt idx="8">
                  <c:v>0.20173913043478256</c:v>
                </c:pt>
                <c:pt idx="9">
                  <c:v>0.19333333333333327</c:v>
                </c:pt>
                <c:pt idx="10">
                  <c:v>0.18559999999999996</c:v>
                </c:pt>
                <c:pt idx="11">
                  <c:v>0.17846153846153842</c:v>
                </c:pt>
                <c:pt idx="12">
                  <c:v>0.17185185185185181</c:v>
                </c:pt>
                <c:pt idx="13">
                  <c:v>0.16571428571428568</c:v>
                </c:pt>
                <c:pt idx="14">
                  <c:v>0.15999999999999995</c:v>
                </c:pt>
                <c:pt idx="15">
                  <c:v>0.15466666666666662</c:v>
                </c:pt>
                <c:pt idx="16">
                  <c:v>0.14967741935483866</c:v>
                </c:pt>
                <c:pt idx="17">
                  <c:v>0.14499999999999993</c:v>
                </c:pt>
                <c:pt idx="18">
                  <c:v>0.14060606060606054</c:v>
                </c:pt>
                <c:pt idx="19">
                  <c:v>0.13647058823529407</c:v>
                </c:pt>
                <c:pt idx="20">
                  <c:v>0.13257142857142851</c:v>
                </c:pt>
                <c:pt idx="21">
                  <c:v>0.12888888888888883</c:v>
                </c:pt>
                <c:pt idx="22">
                  <c:v>0.12540540540540535</c:v>
                </c:pt>
                <c:pt idx="23">
                  <c:v>0.12210526315789468</c:v>
                </c:pt>
                <c:pt idx="24">
                  <c:v>0.11897435897435892</c:v>
                </c:pt>
                <c:pt idx="25">
                  <c:v>0.11599999999999994</c:v>
                </c:pt>
                <c:pt idx="26">
                  <c:v>0.11317073170731702</c:v>
                </c:pt>
                <c:pt idx="27">
                  <c:v>0.11047619047619044</c:v>
                </c:pt>
                <c:pt idx="28">
                  <c:v>0.10790697674418602</c:v>
                </c:pt>
                <c:pt idx="29">
                  <c:v>0.10545454545454543</c:v>
                </c:pt>
                <c:pt idx="30">
                  <c:v>0.1031111111111111</c:v>
                </c:pt>
                <c:pt idx="31">
                  <c:v>0.10086956521739131</c:v>
                </c:pt>
                <c:pt idx="32">
                  <c:v>9.8723404255319155E-2</c:v>
                </c:pt>
                <c:pt idx="33">
                  <c:v>9.6666666666666679E-2</c:v>
                </c:pt>
                <c:pt idx="34">
                  <c:v>9.4693877551020433E-2</c:v>
                </c:pt>
                <c:pt idx="35">
                  <c:v>9.2800000000000035E-2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B5-4D36-9AAE-FDDD83E87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7880"/>
        <c:axId val="378702392"/>
      </c:scatterChart>
      <c:valAx>
        <c:axId val="378707880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lang="es-E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T (seg)</a:t>
                </a:r>
              </a:p>
            </c:rich>
          </c:tx>
          <c:layout>
            <c:manualLayout>
              <c:xMode val="edge"/>
              <c:yMode val="edge"/>
              <c:x val="0.50452539226989379"/>
              <c:y val="0.918352625677024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702392"/>
        <c:crosses val="autoZero"/>
        <c:crossBetween val="midCat"/>
      </c:valAx>
      <c:valAx>
        <c:axId val="378702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E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Sa</a:t>
                </a:r>
                <a:r>
                  <a:rPr lang="es-ES" baseline="-25000"/>
                  <a:t>red</a:t>
                </a:r>
              </a:p>
            </c:rich>
          </c:tx>
          <c:layout>
            <c:manualLayout>
              <c:xMode val="edge"/>
              <c:yMode val="edge"/>
              <c:x val="7.1234086393406424E-3"/>
              <c:y val="0.378255103874948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707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44" r="0.75000000000000744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ESPECTRO DE</a:t>
            </a:r>
            <a:r>
              <a:rPr lang="es-ES" baseline="0"/>
              <a:t> DESPLAZAMIENTO</a:t>
            </a:r>
            <a:endParaRPr lang="es-ES"/>
          </a:p>
        </c:rich>
      </c:tx>
      <c:layout>
        <c:manualLayout>
          <c:xMode val="edge"/>
          <c:yMode val="edge"/>
          <c:x val="0.32126720585266877"/>
          <c:y val="3.5820895522388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409411024154"/>
          <c:y val="0.18507462686567164"/>
          <c:w val="0.82126787558756753"/>
          <c:h val="0.57014925373134362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Micro_Bogotá_ESPEC!$A$15:$A$50</c:f>
              <c:numCache>
                <c:formatCode>General</c:formatCode>
                <c:ptCount val="36"/>
                <c:pt idx="0">
                  <c:v>0</c:v>
                </c:pt>
                <c:pt idx="1">
                  <c:v>0.16</c:v>
                </c:pt>
                <c:pt idx="2">
                  <c:v>1.77</c:v>
                </c:pt>
                <c:pt idx="3">
                  <c:v>1.8</c:v>
                </c:pt>
                <c:pt idx="4">
                  <c:v>1.9000000000000001</c:v>
                </c:pt>
                <c:pt idx="5">
                  <c:v>2</c:v>
                </c:pt>
                <c:pt idx="6">
                  <c:v>2.1</c:v>
                </c:pt>
                <c:pt idx="7">
                  <c:v>2.2000000000000002</c:v>
                </c:pt>
                <c:pt idx="8">
                  <c:v>2.3000000000000003</c:v>
                </c:pt>
                <c:pt idx="9">
                  <c:v>2.4000000000000004</c:v>
                </c:pt>
                <c:pt idx="10">
                  <c:v>2.5000000000000004</c:v>
                </c:pt>
                <c:pt idx="11">
                  <c:v>2.6000000000000005</c:v>
                </c:pt>
                <c:pt idx="12">
                  <c:v>2.7000000000000006</c:v>
                </c:pt>
                <c:pt idx="13">
                  <c:v>2.8000000000000007</c:v>
                </c:pt>
                <c:pt idx="14">
                  <c:v>2.9000000000000008</c:v>
                </c:pt>
                <c:pt idx="15">
                  <c:v>3.0000000000000009</c:v>
                </c:pt>
                <c:pt idx="16">
                  <c:v>3.100000000000001</c:v>
                </c:pt>
                <c:pt idx="17">
                  <c:v>3.2000000000000011</c:v>
                </c:pt>
                <c:pt idx="18">
                  <c:v>3.3000000000000012</c:v>
                </c:pt>
                <c:pt idx="19">
                  <c:v>3.4000000000000012</c:v>
                </c:pt>
                <c:pt idx="20">
                  <c:v>3.5000000000000013</c:v>
                </c:pt>
                <c:pt idx="21">
                  <c:v>3.6000000000000014</c:v>
                </c:pt>
                <c:pt idx="22">
                  <c:v>3.7000000000000015</c:v>
                </c:pt>
                <c:pt idx="23">
                  <c:v>3.8000000000000016</c:v>
                </c:pt>
                <c:pt idx="24">
                  <c:v>3.9000000000000017</c:v>
                </c:pt>
                <c:pt idx="25">
                  <c:v>4.0000000000000018</c:v>
                </c:pt>
                <c:pt idx="26">
                  <c:v>4.1000000000000014</c:v>
                </c:pt>
                <c:pt idx="27">
                  <c:v>4.2000000000000011</c:v>
                </c:pt>
                <c:pt idx="28">
                  <c:v>4.3000000000000007</c:v>
                </c:pt>
                <c:pt idx="29">
                  <c:v>4.4000000000000004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4.6999999999999993</c:v>
                </c:pt>
                <c:pt idx="33">
                  <c:v>4.7999999999999989</c:v>
                </c:pt>
                <c:pt idx="34">
                  <c:v>4.8999999999999986</c:v>
                </c:pt>
                <c:pt idx="35">
                  <c:v>4.9999999999999982</c:v>
                </c:pt>
              </c:numCache>
            </c:numRef>
          </c:xVal>
          <c:yVal>
            <c:numRef>
              <c:f>Micro_Bogotá_ESPEC!$N$15:$N$50</c:f>
              <c:numCache>
                <c:formatCode>General</c:formatCode>
                <c:ptCount val="36"/>
                <c:pt idx="0">
                  <c:v>0</c:v>
                </c:pt>
                <c:pt idx="1">
                  <c:v>2.5047812450589612E-3</c:v>
                </c:pt>
                <c:pt idx="2">
                  <c:v>0.30653238916582887</c:v>
                </c:pt>
                <c:pt idx="3">
                  <c:v>0.31130852617161364</c:v>
                </c:pt>
                <c:pt idx="4">
                  <c:v>0.32860344429225891</c:v>
                </c:pt>
                <c:pt idx="5">
                  <c:v>0.34589836241290406</c:v>
                </c:pt>
                <c:pt idx="6">
                  <c:v>0.36319328053354932</c:v>
                </c:pt>
                <c:pt idx="7">
                  <c:v>0.38048819865419453</c:v>
                </c:pt>
                <c:pt idx="8">
                  <c:v>0.39778311677483974</c:v>
                </c:pt>
                <c:pt idx="9">
                  <c:v>0.41507803489548495</c:v>
                </c:pt>
                <c:pt idx="10">
                  <c:v>0.43237295301613016</c:v>
                </c:pt>
                <c:pt idx="11">
                  <c:v>0.44966787113677531</c:v>
                </c:pt>
                <c:pt idx="12">
                  <c:v>0.46696278925742069</c:v>
                </c:pt>
                <c:pt idx="13">
                  <c:v>0.48425770737806584</c:v>
                </c:pt>
                <c:pt idx="14">
                  <c:v>0.50155262549871094</c:v>
                </c:pt>
                <c:pt idx="15">
                  <c:v>0.51884754361935637</c:v>
                </c:pt>
                <c:pt idx="16">
                  <c:v>0.53614246174000157</c:v>
                </c:pt>
                <c:pt idx="17">
                  <c:v>0.55343737986064678</c:v>
                </c:pt>
                <c:pt idx="18">
                  <c:v>0.57073229798129188</c:v>
                </c:pt>
                <c:pt idx="19">
                  <c:v>0.58802721610193731</c:v>
                </c:pt>
                <c:pt idx="20">
                  <c:v>0.6053221342225823</c:v>
                </c:pt>
                <c:pt idx="21">
                  <c:v>0.62261705234322762</c:v>
                </c:pt>
                <c:pt idx="22">
                  <c:v>0.63991197046387271</c:v>
                </c:pt>
                <c:pt idx="23">
                  <c:v>0.65720688858451803</c:v>
                </c:pt>
                <c:pt idx="24">
                  <c:v>0.67450180670516324</c:v>
                </c:pt>
                <c:pt idx="25">
                  <c:v>0.69179672482580845</c:v>
                </c:pt>
                <c:pt idx="26">
                  <c:v>0.70909164294645355</c:v>
                </c:pt>
                <c:pt idx="27">
                  <c:v>0.72638656106709865</c:v>
                </c:pt>
                <c:pt idx="28">
                  <c:v>0.74368147918774385</c:v>
                </c:pt>
                <c:pt idx="29">
                  <c:v>0.76097639730838906</c:v>
                </c:pt>
                <c:pt idx="30">
                  <c:v>0.77827131542903416</c:v>
                </c:pt>
                <c:pt idx="31">
                  <c:v>0.79556623354967948</c:v>
                </c:pt>
                <c:pt idx="32">
                  <c:v>0.81286115167032447</c:v>
                </c:pt>
                <c:pt idx="33">
                  <c:v>0.83015606979096968</c:v>
                </c:pt>
                <c:pt idx="34">
                  <c:v>0.84745098791161466</c:v>
                </c:pt>
                <c:pt idx="35">
                  <c:v>0.86474590603226009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32-4731-8060-20C69C183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3176"/>
        <c:axId val="378704352"/>
      </c:scatterChart>
      <c:valAx>
        <c:axId val="37870317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lang="es-E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T (seg)</a:t>
                </a:r>
              </a:p>
            </c:rich>
          </c:tx>
          <c:layout>
            <c:manualLayout>
              <c:xMode val="edge"/>
              <c:yMode val="edge"/>
              <c:x val="0.50452536193155828"/>
              <c:y val="0.835820895522397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704352"/>
        <c:crosses val="autoZero"/>
        <c:crossBetween val="midCat"/>
      </c:valAx>
      <c:valAx>
        <c:axId val="378704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E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Sd</a:t>
                </a:r>
              </a:p>
            </c:rich>
          </c:tx>
          <c:layout>
            <c:manualLayout>
              <c:xMode val="edge"/>
              <c:yMode val="edge"/>
              <c:x val="1.1277095036017756E-2"/>
              <c:y val="0.428176255613450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70317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44" r="0.75000000000000744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ESPECTRO DE</a:t>
            </a:r>
            <a:r>
              <a:rPr lang="es-ES" baseline="0"/>
              <a:t> </a:t>
            </a:r>
            <a:r>
              <a:rPr lang="es-ES" sz="1075" b="1" i="0" u="none" strike="noStrike" baseline="0"/>
              <a:t>DESPLAZAMIENTO </a:t>
            </a:r>
            <a:r>
              <a:rPr lang="es-ES" baseline="0"/>
              <a:t>REDUCIDO</a:t>
            </a:r>
            <a:endParaRPr lang="es-ES"/>
          </a:p>
        </c:rich>
      </c:tx>
      <c:layout>
        <c:manualLayout>
          <c:xMode val="edge"/>
          <c:yMode val="edge"/>
          <c:x val="0.32126720585266888"/>
          <c:y val="3.5820895522388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409411024157"/>
          <c:y val="0.18507462686567164"/>
          <c:w val="0.82126787558756753"/>
          <c:h val="0.57014925373134362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Micro_Bogotá_ESPEC!$A$15:$A$50</c:f>
              <c:numCache>
                <c:formatCode>General</c:formatCode>
                <c:ptCount val="36"/>
                <c:pt idx="0">
                  <c:v>0</c:v>
                </c:pt>
                <c:pt idx="1">
                  <c:v>0.16</c:v>
                </c:pt>
                <c:pt idx="2">
                  <c:v>1.77</c:v>
                </c:pt>
                <c:pt idx="3">
                  <c:v>1.8</c:v>
                </c:pt>
                <c:pt idx="4">
                  <c:v>1.9000000000000001</c:v>
                </c:pt>
                <c:pt idx="5">
                  <c:v>2</c:v>
                </c:pt>
                <c:pt idx="6">
                  <c:v>2.1</c:v>
                </c:pt>
                <c:pt idx="7">
                  <c:v>2.2000000000000002</c:v>
                </c:pt>
                <c:pt idx="8">
                  <c:v>2.3000000000000003</c:v>
                </c:pt>
                <c:pt idx="9">
                  <c:v>2.4000000000000004</c:v>
                </c:pt>
                <c:pt idx="10">
                  <c:v>2.5000000000000004</c:v>
                </c:pt>
                <c:pt idx="11">
                  <c:v>2.6000000000000005</c:v>
                </c:pt>
                <c:pt idx="12">
                  <c:v>2.7000000000000006</c:v>
                </c:pt>
                <c:pt idx="13">
                  <c:v>2.8000000000000007</c:v>
                </c:pt>
                <c:pt idx="14">
                  <c:v>2.9000000000000008</c:v>
                </c:pt>
                <c:pt idx="15">
                  <c:v>3.0000000000000009</c:v>
                </c:pt>
                <c:pt idx="16">
                  <c:v>3.100000000000001</c:v>
                </c:pt>
                <c:pt idx="17">
                  <c:v>3.2000000000000011</c:v>
                </c:pt>
                <c:pt idx="18">
                  <c:v>3.3000000000000012</c:v>
                </c:pt>
                <c:pt idx="19">
                  <c:v>3.4000000000000012</c:v>
                </c:pt>
                <c:pt idx="20">
                  <c:v>3.5000000000000013</c:v>
                </c:pt>
                <c:pt idx="21">
                  <c:v>3.6000000000000014</c:v>
                </c:pt>
                <c:pt idx="22">
                  <c:v>3.7000000000000015</c:v>
                </c:pt>
                <c:pt idx="23">
                  <c:v>3.8000000000000016</c:v>
                </c:pt>
                <c:pt idx="24">
                  <c:v>3.9000000000000017</c:v>
                </c:pt>
                <c:pt idx="25">
                  <c:v>4.0000000000000018</c:v>
                </c:pt>
                <c:pt idx="26">
                  <c:v>4.1000000000000014</c:v>
                </c:pt>
                <c:pt idx="27">
                  <c:v>4.2000000000000011</c:v>
                </c:pt>
                <c:pt idx="28">
                  <c:v>4.3000000000000007</c:v>
                </c:pt>
                <c:pt idx="29">
                  <c:v>4.4000000000000004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4.6999999999999993</c:v>
                </c:pt>
                <c:pt idx="33">
                  <c:v>4.7999999999999989</c:v>
                </c:pt>
                <c:pt idx="34">
                  <c:v>4.8999999999999986</c:v>
                </c:pt>
                <c:pt idx="35">
                  <c:v>4.9999999999999982</c:v>
                </c:pt>
              </c:numCache>
            </c:numRef>
          </c:xVal>
          <c:yVal>
            <c:numRef>
              <c:f>Micro_Bogotá_ESPEC!$O$15:$O$50</c:f>
              <c:numCache>
                <c:formatCode>General</c:formatCode>
                <c:ptCount val="36"/>
                <c:pt idx="0">
                  <c:v>0</c:v>
                </c:pt>
                <c:pt idx="1">
                  <c:v>1.6698541633726404E-3</c:v>
                </c:pt>
                <c:pt idx="2">
                  <c:v>0.20435492611055256</c:v>
                </c:pt>
                <c:pt idx="3">
                  <c:v>0.20753901744774242</c:v>
                </c:pt>
                <c:pt idx="4">
                  <c:v>0.21906896286150598</c:v>
                </c:pt>
                <c:pt idx="5">
                  <c:v>0.23059890827526938</c:v>
                </c:pt>
                <c:pt idx="6">
                  <c:v>0.24212885368903284</c:v>
                </c:pt>
                <c:pt idx="7">
                  <c:v>0.25365879910279632</c:v>
                </c:pt>
                <c:pt idx="8">
                  <c:v>0.26518874451655983</c:v>
                </c:pt>
                <c:pt idx="9">
                  <c:v>0.27671868993032328</c:v>
                </c:pt>
                <c:pt idx="10">
                  <c:v>0.28824863534408679</c:v>
                </c:pt>
                <c:pt idx="11">
                  <c:v>0.29977858075785019</c:v>
                </c:pt>
                <c:pt idx="12">
                  <c:v>0.31130852617161381</c:v>
                </c:pt>
                <c:pt idx="13">
                  <c:v>0.32283847158537721</c:v>
                </c:pt>
                <c:pt idx="14">
                  <c:v>0.33436841699914066</c:v>
                </c:pt>
                <c:pt idx="15">
                  <c:v>0.34589836241290423</c:v>
                </c:pt>
                <c:pt idx="16">
                  <c:v>0.35742830782666773</c:v>
                </c:pt>
                <c:pt idx="17">
                  <c:v>0.36895825324043113</c:v>
                </c:pt>
                <c:pt idx="18">
                  <c:v>0.38048819865419459</c:v>
                </c:pt>
                <c:pt idx="19">
                  <c:v>0.39201814406795815</c:v>
                </c:pt>
                <c:pt idx="20">
                  <c:v>0.40354808948172161</c:v>
                </c:pt>
                <c:pt idx="21">
                  <c:v>0.41507803489548506</c:v>
                </c:pt>
                <c:pt idx="22">
                  <c:v>0.42660798030924851</c:v>
                </c:pt>
                <c:pt idx="23">
                  <c:v>0.43813792572301202</c:v>
                </c:pt>
                <c:pt idx="24">
                  <c:v>0.44966787113677553</c:v>
                </c:pt>
                <c:pt idx="25">
                  <c:v>0.46119781655053893</c:v>
                </c:pt>
                <c:pt idx="26">
                  <c:v>0.47272776196430238</c:v>
                </c:pt>
                <c:pt idx="27">
                  <c:v>0.48425770737806573</c:v>
                </c:pt>
                <c:pt idx="28">
                  <c:v>0.49578765279182935</c:v>
                </c:pt>
                <c:pt idx="29">
                  <c:v>0.50731759820559263</c:v>
                </c:pt>
                <c:pt idx="30">
                  <c:v>0.51884754361935614</c:v>
                </c:pt>
                <c:pt idx="31">
                  <c:v>0.53037748903311965</c:v>
                </c:pt>
                <c:pt idx="32">
                  <c:v>0.54190743444688305</c:v>
                </c:pt>
                <c:pt idx="33">
                  <c:v>0.55343737986064645</c:v>
                </c:pt>
                <c:pt idx="34">
                  <c:v>0.56496732527440974</c:v>
                </c:pt>
                <c:pt idx="35">
                  <c:v>0.57649727068817336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50-47D3-B091-A111D5EF9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5920"/>
        <c:axId val="378704744"/>
      </c:scatterChart>
      <c:valAx>
        <c:axId val="378705920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lang="es-E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T (seg)</a:t>
                </a:r>
              </a:p>
            </c:rich>
          </c:tx>
          <c:layout>
            <c:manualLayout>
              <c:xMode val="edge"/>
              <c:yMode val="edge"/>
              <c:x val="0.50452536193155817"/>
              <c:y val="0.835820895522397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704744"/>
        <c:crosses val="autoZero"/>
        <c:crossBetween val="midCat"/>
      </c:valAx>
      <c:valAx>
        <c:axId val="378704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E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Sd</a:t>
                </a:r>
                <a:r>
                  <a:rPr lang="es-ES" baseline="-25000"/>
                  <a:t>red</a:t>
                </a:r>
              </a:p>
            </c:rich>
          </c:tx>
          <c:layout>
            <c:manualLayout>
              <c:xMode val="edge"/>
              <c:yMode val="edge"/>
              <c:x val="7.1234086393406424E-3"/>
              <c:y val="0.37825510387494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7059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55" r="0.7500000000000075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Espectro de respuesta</a:t>
            </a:r>
            <a:r>
              <a:rPr lang="es-ES" baseline="0"/>
              <a:t> elástica, seuda-aceleración PSA 5%.</a:t>
            </a:r>
            <a:br>
              <a:rPr lang="es-ES" baseline="0"/>
            </a:br>
            <a:r>
              <a:rPr lang="es-ES" baseline="0"/>
              <a:t>Circasia, Qundío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'2026-PSA-CIRS'!$E$2</c:f>
              <c:strCache>
                <c:ptCount val="1"/>
                <c:pt idx="0">
                  <c:v>Sismo2026-CIRS - EW (%g)</c:v>
                </c:pt>
              </c:strCache>
            </c:strRef>
          </c:tx>
          <c:spPr>
            <a:ln w="9525" cap="rnd">
              <a:solidFill>
                <a:srgbClr val="FF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'2026-PSA-CIRS'!$A$3:$A$81</c:f>
              <c:numCache>
                <c:formatCode>General</c:formatCode>
                <c:ptCount val="7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6.5000000000000002E-2</c:v>
                </c:pt>
                <c:pt idx="17">
                  <c:v>7.0000000000000007E-2</c:v>
                </c:pt>
                <c:pt idx="18">
                  <c:v>7.4999999999999997E-2</c:v>
                </c:pt>
                <c:pt idx="19">
                  <c:v>0.08</c:v>
                </c:pt>
                <c:pt idx="20">
                  <c:v>8.5000000000000006E-2</c:v>
                </c:pt>
                <c:pt idx="21">
                  <c:v>0.09</c:v>
                </c:pt>
                <c:pt idx="22">
                  <c:v>9.5000000000000001E-2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0.13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0.17</c:v>
                </c:pt>
                <c:pt idx="31">
                  <c:v>0.18</c:v>
                </c:pt>
                <c:pt idx="32">
                  <c:v>0.19</c:v>
                </c:pt>
                <c:pt idx="33">
                  <c:v>0.2</c:v>
                </c:pt>
                <c:pt idx="34">
                  <c:v>0.22</c:v>
                </c:pt>
                <c:pt idx="35">
                  <c:v>0.24</c:v>
                </c:pt>
                <c:pt idx="36">
                  <c:v>0.25</c:v>
                </c:pt>
                <c:pt idx="37">
                  <c:v>0.26</c:v>
                </c:pt>
                <c:pt idx="38">
                  <c:v>0.27</c:v>
                </c:pt>
                <c:pt idx="39">
                  <c:v>0.28000000000000003</c:v>
                </c:pt>
                <c:pt idx="40">
                  <c:v>0.28999999999999998</c:v>
                </c:pt>
                <c:pt idx="41">
                  <c:v>0.31</c:v>
                </c:pt>
                <c:pt idx="42">
                  <c:v>0.33</c:v>
                </c:pt>
                <c:pt idx="43">
                  <c:v>0.35</c:v>
                </c:pt>
                <c:pt idx="44">
                  <c:v>0.38</c:v>
                </c:pt>
                <c:pt idx="45">
                  <c:v>0.4</c:v>
                </c:pt>
                <c:pt idx="46">
                  <c:v>0.42</c:v>
                </c:pt>
                <c:pt idx="47">
                  <c:v>0.44</c:v>
                </c:pt>
                <c:pt idx="48">
                  <c:v>0.46</c:v>
                </c:pt>
                <c:pt idx="49">
                  <c:v>0.5</c:v>
                </c:pt>
                <c:pt idx="50">
                  <c:v>0.52</c:v>
                </c:pt>
                <c:pt idx="51">
                  <c:v>0.54</c:v>
                </c:pt>
                <c:pt idx="52">
                  <c:v>0.56000000000000005</c:v>
                </c:pt>
                <c:pt idx="53">
                  <c:v>0.57999999999999996</c:v>
                </c:pt>
                <c:pt idx="54">
                  <c:v>0.6</c:v>
                </c:pt>
                <c:pt idx="55">
                  <c:v>0.65</c:v>
                </c:pt>
                <c:pt idx="56">
                  <c:v>0.7</c:v>
                </c:pt>
                <c:pt idx="57">
                  <c:v>0.75</c:v>
                </c:pt>
                <c:pt idx="58">
                  <c:v>0.8</c:v>
                </c:pt>
                <c:pt idx="59">
                  <c:v>0.85</c:v>
                </c:pt>
                <c:pt idx="60">
                  <c:v>0.9</c:v>
                </c:pt>
                <c:pt idx="61">
                  <c:v>0.95</c:v>
                </c:pt>
                <c:pt idx="62">
                  <c:v>1</c:v>
                </c:pt>
                <c:pt idx="63">
                  <c:v>1.1000000000000001</c:v>
                </c:pt>
                <c:pt idx="64">
                  <c:v>1.2</c:v>
                </c:pt>
                <c:pt idx="65">
                  <c:v>1.3</c:v>
                </c:pt>
                <c:pt idx="66">
                  <c:v>1.4</c:v>
                </c:pt>
                <c:pt idx="67">
                  <c:v>1.5</c:v>
                </c:pt>
                <c:pt idx="68">
                  <c:v>1.6</c:v>
                </c:pt>
                <c:pt idx="69">
                  <c:v>1.8</c:v>
                </c:pt>
                <c:pt idx="70">
                  <c:v>2</c:v>
                </c:pt>
                <c:pt idx="71">
                  <c:v>2.2000000000000002</c:v>
                </c:pt>
                <c:pt idx="72">
                  <c:v>2.5</c:v>
                </c:pt>
                <c:pt idx="73">
                  <c:v>2.8</c:v>
                </c:pt>
                <c:pt idx="74">
                  <c:v>3</c:v>
                </c:pt>
                <c:pt idx="75">
                  <c:v>3.5</c:v>
                </c:pt>
                <c:pt idx="76">
                  <c:v>4</c:v>
                </c:pt>
                <c:pt idx="77">
                  <c:v>4.5</c:v>
                </c:pt>
                <c:pt idx="78">
                  <c:v>5</c:v>
                </c:pt>
              </c:numCache>
            </c:numRef>
          </c:xVal>
          <c:yVal>
            <c:numRef>
              <c:f>'2026-PSA-CIRS'!$E$3:$E$81</c:f>
              <c:numCache>
                <c:formatCode>0.00%</c:formatCode>
                <c:ptCount val="79"/>
                <c:pt idx="0">
                  <c:v>0.28349999999999997</c:v>
                </c:pt>
                <c:pt idx="1">
                  <c:v>0.28139999999999998</c:v>
                </c:pt>
                <c:pt idx="2">
                  <c:v>0.28249999999999997</c:v>
                </c:pt>
                <c:pt idx="3">
                  <c:v>0.28349999999999997</c:v>
                </c:pt>
                <c:pt idx="4">
                  <c:v>0.28249999999999997</c:v>
                </c:pt>
                <c:pt idx="5">
                  <c:v>0.28039999999999998</c:v>
                </c:pt>
                <c:pt idx="6">
                  <c:v>0.28549999999999998</c:v>
                </c:pt>
                <c:pt idx="7">
                  <c:v>0.28649999999999998</c:v>
                </c:pt>
                <c:pt idx="8">
                  <c:v>0.28649999999999998</c:v>
                </c:pt>
                <c:pt idx="9">
                  <c:v>0.28760000000000002</c:v>
                </c:pt>
                <c:pt idx="10">
                  <c:v>0.29370000000000002</c:v>
                </c:pt>
                <c:pt idx="11">
                  <c:v>0.29780000000000001</c:v>
                </c:pt>
                <c:pt idx="12">
                  <c:v>0.30080000000000001</c:v>
                </c:pt>
                <c:pt idx="13">
                  <c:v>0.30590000000000001</c:v>
                </c:pt>
                <c:pt idx="14">
                  <c:v>0.32119999999999999</c:v>
                </c:pt>
                <c:pt idx="15">
                  <c:v>0.32429999999999998</c:v>
                </c:pt>
                <c:pt idx="16">
                  <c:v>0.31809999999999999</c:v>
                </c:pt>
                <c:pt idx="17">
                  <c:v>0.34670000000000001</c:v>
                </c:pt>
                <c:pt idx="18">
                  <c:v>0.34470000000000001</c:v>
                </c:pt>
                <c:pt idx="19">
                  <c:v>0.34160000000000001</c:v>
                </c:pt>
                <c:pt idx="20">
                  <c:v>0.37219999999999998</c:v>
                </c:pt>
                <c:pt idx="21">
                  <c:v>0.38550000000000001</c:v>
                </c:pt>
                <c:pt idx="22">
                  <c:v>0.40279999999999999</c:v>
                </c:pt>
                <c:pt idx="23">
                  <c:v>0.41</c:v>
                </c:pt>
                <c:pt idx="24">
                  <c:v>0.42320000000000002</c:v>
                </c:pt>
                <c:pt idx="25">
                  <c:v>0.49969999999999998</c:v>
                </c:pt>
                <c:pt idx="26">
                  <c:v>0.5282</c:v>
                </c:pt>
                <c:pt idx="27">
                  <c:v>0.45889999999999997</c:v>
                </c:pt>
                <c:pt idx="28">
                  <c:v>0.50170000000000003</c:v>
                </c:pt>
                <c:pt idx="29">
                  <c:v>0.46910000000000002</c:v>
                </c:pt>
                <c:pt idx="30">
                  <c:v>0.48949999999999999</c:v>
                </c:pt>
                <c:pt idx="31">
                  <c:v>0.46700000000000003</c:v>
                </c:pt>
                <c:pt idx="32">
                  <c:v>0.51190000000000002</c:v>
                </c:pt>
                <c:pt idx="33">
                  <c:v>0.54549999999999998</c:v>
                </c:pt>
                <c:pt idx="34">
                  <c:v>0.60370000000000001</c:v>
                </c:pt>
                <c:pt idx="35">
                  <c:v>0.60160000000000002</c:v>
                </c:pt>
                <c:pt idx="36">
                  <c:v>0.63219999999999998</c:v>
                </c:pt>
                <c:pt idx="37">
                  <c:v>0.63429999999999997</c:v>
                </c:pt>
                <c:pt idx="38">
                  <c:v>0.6169</c:v>
                </c:pt>
                <c:pt idx="39">
                  <c:v>0.58330000000000004</c:v>
                </c:pt>
                <c:pt idx="40">
                  <c:v>0.6169</c:v>
                </c:pt>
                <c:pt idx="41">
                  <c:v>0.59140000000000004</c:v>
                </c:pt>
                <c:pt idx="42">
                  <c:v>0.55059999999999998</c:v>
                </c:pt>
                <c:pt idx="43">
                  <c:v>0.62409999999999999</c:v>
                </c:pt>
                <c:pt idx="44">
                  <c:v>0.78010000000000002</c:v>
                </c:pt>
                <c:pt idx="45">
                  <c:v>0.85860000000000003</c:v>
                </c:pt>
                <c:pt idx="46">
                  <c:v>0.90959999999999996</c:v>
                </c:pt>
                <c:pt idx="47">
                  <c:v>0.82089999999999996</c:v>
                </c:pt>
                <c:pt idx="48">
                  <c:v>0.86680000000000001</c:v>
                </c:pt>
                <c:pt idx="49">
                  <c:v>1.1216999999999999</c:v>
                </c:pt>
                <c:pt idx="50">
                  <c:v>1.4378</c:v>
                </c:pt>
                <c:pt idx="51">
                  <c:v>1.5092000000000001</c:v>
                </c:pt>
                <c:pt idx="52">
                  <c:v>1.657</c:v>
                </c:pt>
                <c:pt idx="53">
                  <c:v>1.3868</c:v>
                </c:pt>
                <c:pt idx="54">
                  <c:v>1.5092000000000001</c:v>
                </c:pt>
                <c:pt idx="55">
                  <c:v>1.1420999999999999</c:v>
                </c:pt>
                <c:pt idx="56">
                  <c:v>0.69340000000000002</c:v>
                </c:pt>
                <c:pt idx="57">
                  <c:v>0.57099999999999995</c:v>
                </c:pt>
                <c:pt idx="58">
                  <c:v>0.45889999999999997</c:v>
                </c:pt>
                <c:pt idx="59">
                  <c:v>0.31809999999999999</c:v>
                </c:pt>
                <c:pt idx="60">
                  <c:v>0.22939999999999999</c:v>
                </c:pt>
                <c:pt idx="61">
                  <c:v>0.18149999999999999</c:v>
                </c:pt>
                <c:pt idx="62">
                  <c:v>0.14480000000000001</c:v>
                </c:pt>
                <c:pt idx="63">
                  <c:v>0.1173</c:v>
                </c:pt>
                <c:pt idx="64">
                  <c:v>0.1101</c:v>
                </c:pt>
                <c:pt idx="65">
                  <c:v>0.11219999999999999</c:v>
                </c:pt>
                <c:pt idx="66">
                  <c:v>0.104</c:v>
                </c:pt>
                <c:pt idx="67">
                  <c:v>0.1101</c:v>
                </c:pt>
                <c:pt idx="68">
                  <c:v>8.1600000000000006E-2</c:v>
                </c:pt>
                <c:pt idx="69">
                  <c:v>5.6099999999999997E-2</c:v>
                </c:pt>
                <c:pt idx="70">
                  <c:v>5.6099999999999997E-2</c:v>
                </c:pt>
                <c:pt idx="71">
                  <c:v>4.8899999999999999E-2</c:v>
                </c:pt>
                <c:pt idx="72">
                  <c:v>3.2599999999999997E-2</c:v>
                </c:pt>
                <c:pt idx="73">
                  <c:v>2.5499999999999998E-2</c:v>
                </c:pt>
                <c:pt idx="74">
                  <c:v>2.6499999999999999E-2</c:v>
                </c:pt>
                <c:pt idx="75">
                  <c:v>1.5299999999999999E-2</c:v>
                </c:pt>
                <c:pt idx="76">
                  <c:v>1.2200000000000001E-2</c:v>
                </c:pt>
                <c:pt idx="77">
                  <c:v>8.2000000000000007E-3</c:v>
                </c:pt>
                <c:pt idx="78">
                  <c:v>6.1000000000000004E-3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55-431E-BCCF-7F159E243E87}"/>
            </c:ext>
          </c:extLst>
        </c:ser>
        <c:ser>
          <c:idx val="2"/>
          <c:order val="1"/>
          <c:tx>
            <c:strRef>
              <c:f>'2026-PSA-CIRS'!$F$2</c:f>
              <c:strCache>
                <c:ptCount val="1"/>
                <c:pt idx="0">
                  <c:v>Sismo2026-CIRS - NS (%g)</c:v>
                </c:pt>
              </c:strCache>
            </c:strRef>
          </c:tx>
          <c:spPr>
            <a:ln w="9525" cap="rnd">
              <a:solidFill>
                <a:srgbClr val="00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'2026-PSA-CIRS'!$A$3:$A$81</c:f>
              <c:numCache>
                <c:formatCode>General</c:formatCode>
                <c:ptCount val="7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6.5000000000000002E-2</c:v>
                </c:pt>
                <c:pt idx="17">
                  <c:v>7.0000000000000007E-2</c:v>
                </c:pt>
                <c:pt idx="18">
                  <c:v>7.4999999999999997E-2</c:v>
                </c:pt>
                <c:pt idx="19">
                  <c:v>0.08</c:v>
                </c:pt>
                <c:pt idx="20">
                  <c:v>8.5000000000000006E-2</c:v>
                </c:pt>
                <c:pt idx="21">
                  <c:v>0.09</c:v>
                </c:pt>
                <c:pt idx="22">
                  <c:v>9.5000000000000001E-2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0.13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0.17</c:v>
                </c:pt>
                <c:pt idx="31">
                  <c:v>0.18</c:v>
                </c:pt>
                <c:pt idx="32">
                  <c:v>0.19</c:v>
                </c:pt>
                <c:pt idx="33">
                  <c:v>0.2</c:v>
                </c:pt>
                <c:pt idx="34">
                  <c:v>0.22</c:v>
                </c:pt>
                <c:pt idx="35">
                  <c:v>0.24</c:v>
                </c:pt>
                <c:pt idx="36">
                  <c:v>0.25</c:v>
                </c:pt>
                <c:pt idx="37">
                  <c:v>0.26</c:v>
                </c:pt>
                <c:pt idx="38">
                  <c:v>0.27</c:v>
                </c:pt>
                <c:pt idx="39">
                  <c:v>0.28000000000000003</c:v>
                </c:pt>
                <c:pt idx="40">
                  <c:v>0.28999999999999998</c:v>
                </c:pt>
                <c:pt idx="41">
                  <c:v>0.31</c:v>
                </c:pt>
                <c:pt idx="42">
                  <c:v>0.33</c:v>
                </c:pt>
                <c:pt idx="43">
                  <c:v>0.35</c:v>
                </c:pt>
                <c:pt idx="44">
                  <c:v>0.38</c:v>
                </c:pt>
                <c:pt idx="45">
                  <c:v>0.4</c:v>
                </c:pt>
                <c:pt idx="46">
                  <c:v>0.42</c:v>
                </c:pt>
                <c:pt idx="47">
                  <c:v>0.44</c:v>
                </c:pt>
                <c:pt idx="48">
                  <c:v>0.46</c:v>
                </c:pt>
                <c:pt idx="49">
                  <c:v>0.5</c:v>
                </c:pt>
                <c:pt idx="50">
                  <c:v>0.52</c:v>
                </c:pt>
                <c:pt idx="51">
                  <c:v>0.54</c:v>
                </c:pt>
                <c:pt idx="52">
                  <c:v>0.56000000000000005</c:v>
                </c:pt>
                <c:pt idx="53">
                  <c:v>0.57999999999999996</c:v>
                </c:pt>
                <c:pt idx="54">
                  <c:v>0.6</c:v>
                </c:pt>
                <c:pt idx="55">
                  <c:v>0.65</c:v>
                </c:pt>
                <c:pt idx="56">
                  <c:v>0.7</c:v>
                </c:pt>
                <c:pt idx="57">
                  <c:v>0.75</c:v>
                </c:pt>
                <c:pt idx="58">
                  <c:v>0.8</c:v>
                </c:pt>
                <c:pt idx="59">
                  <c:v>0.85</c:v>
                </c:pt>
                <c:pt idx="60">
                  <c:v>0.9</c:v>
                </c:pt>
                <c:pt idx="61">
                  <c:v>0.95</c:v>
                </c:pt>
                <c:pt idx="62">
                  <c:v>1</c:v>
                </c:pt>
                <c:pt idx="63">
                  <c:v>1.1000000000000001</c:v>
                </c:pt>
                <c:pt idx="64">
                  <c:v>1.2</c:v>
                </c:pt>
                <c:pt idx="65">
                  <c:v>1.3</c:v>
                </c:pt>
                <c:pt idx="66">
                  <c:v>1.4</c:v>
                </c:pt>
                <c:pt idx="67">
                  <c:v>1.5</c:v>
                </c:pt>
                <c:pt idx="68">
                  <c:v>1.6</c:v>
                </c:pt>
                <c:pt idx="69">
                  <c:v>1.8</c:v>
                </c:pt>
                <c:pt idx="70">
                  <c:v>2</c:v>
                </c:pt>
                <c:pt idx="71">
                  <c:v>2.2000000000000002</c:v>
                </c:pt>
                <c:pt idx="72">
                  <c:v>2.5</c:v>
                </c:pt>
                <c:pt idx="73">
                  <c:v>2.8</c:v>
                </c:pt>
                <c:pt idx="74">
                  <c:v>3</c:v>
                </c:pt>
                <c:pt idx="75">
                  <c:v>3.5</c:v>
                </c:pt>
                <c:pt idx="76">
                  <c:v>4</c:v>
                </c:pt>
                <c:pt idx="77">
                  <c:v>4.5</c:v>
                </c:pt>
                <c:pt idx="78">
                  <c:v>5</c:v>
                </c:pt>
              </c:numCache>
            </c:numRef>
          </c:xVal>
          <c:yVal>
            <c:numRef>
              <c:f>'2026-PSA-CIRS'!$F$3:$F$81</c:f>
              <c:numCache>
                <c:formatCode>0.00%</c:formatCode>
                <c:ptCount val="79"/>
                <c:pt idx="0">
                  <c:v>0.3957</c:v>
                </c:pt>
                <c:pt idx="1">
                  <c:v>0.3967</c:v>
                </c:pt>
                <c:pt idx="2">
                  <c:v>0.3977</c:v>
                </c:pt>
                <c:pt idx="3">
                  <c:v>0.3997</c:v>
                </c:pt>
                <c:pt idx="4">
                  <c:v>0.3957</c:v>
                </c:pt>
                <c:pt idx="5">
                  <c:v>0.3967</c:v>
                </c:pt>
                <c:pt idx="6">
                  <c:v>0.3987</c:v>
                </c:pt>
                <c:pt idx="7">
                  <c:v>0.3977</c:v>
                </c:pt>
                <c:pt idx="8">
                  <c:v>0.3967</c:v>
                </c:pt>
                <c:pt idx="9">
                  <c:v>0.3957</c:v>
                </c:pt>
                <c:pt idx="10">
                  <c:v>0.40279999999999999</c:v>
                </c:pt>
                <c:pt idx="11">
                  <c:v>0.40579999999999999</c:v>
                </c:pt>
                <c:pt idx="12">
                  <c:v>0.41089999999999999</c:v>
                </c:pt>
                <c:pt idx="13">
                  <c:v>0.40989999999999999</c:v>
                </c:pt>
                <c:pt idx="14">
                  <c:v>0.40789999999999998</c:v>
                </c:pt>
                <c:pt idx="15">
                  <c:v>0.42009999999999997</c:v>
                </c:pt>
                <c:pt idx="16">
                  <c:v>0.4405</c:v>
                </c:pt>
                <c:pt idx="17">
                  <c:v>0.46700000000000003</c:v>
                </c:pt>
                <c:pt idx="18">
                  <c:v>0.46089999999999998</c:v>
                </c:pt>
                <c:pt idx="19">
                  <c:v>0.48130000000000001</c:v>
                </c:pt>
                <c:pt idx="20">
                  <c:v>0.46700000000000003</c:v>
                </c:pt>
                <c:pt idx="21">
                  <c:v>0.45889999999999997</c:v>
                </c:pt>
                <c:pt idx="22">
                  <c:v>0.47720000000000001</c:v>
                </c:pt>
                <c:pt idx="23">
                  <c:v>0.46089999999999998</c:v>
                </c:pt>
                <c:pt idx="24">
                  <c:v>0.45379999999999998</c:v>
                </c:pt>
                <c:pt idx="25">
                  <c:v>0.51800000000000002</c:v>
                </c:pt>
                <c:pt idx="26">
                  <c:v>0.56589999999999996</c:v>
                </c:pt>
                <c:pt idx="27">
                  <c:v>0.52210000000000001</c:v>
                </c:pt>
                <c:pt idx="28">
                  <c:v>0.5323</c:v>
                </c:pt>
                <c:pt idx="29">
                  <c:v>0.50170000000000003</c:v>
                </c:pt>
                <c:pt idx="30">
                  <c:v>0.60980000000000001</c:v>
                </c:pt>
                <c:pt idx="31">
                  <c:v>0.69540000000000002</c:v>
                </c:pt>
                <c:pt idx="32">
                  <c:v>0.76480000000000004</c:v>
                </c:pt>
                <c:pt idx="33">
                  <c:v>0.79330000000000001</c:v>
                </c:pt>
                <c:pt idx="34">
                  <c:v>0.72399999999999998</c:v>
                </c:pt>
                <c:pt idx="35">
                  <c:v>0.66279999999999994</c:v>
                </c:pt>
                <c:pt idx="36">
                  <c:v>0.73619999999999997</c:v>
                </c:pt>
                <c:pt idx="37">
                  <c:v>0.77500000000000002</c:v>
                </c:pt>
                <c:pt idx="38">
                  <c:v>0.75660000000000005</c:v>
                </c:pt>
                <c:pt idx="39">
                  <c:v>0.77290000000000003</c:v>
                </c:pt>
                <c:pt idx="40">
                  <c:v>0.73219999999999996</c:v>
                </c:pt>
                <c:pt idx="41">
                  <c:v>0.78010000000000002</c:v>
                </c:pt>
                <c:pt idx="42">
                  <c:v>0.84130000000000005</c:v>
                </c:pt>
                <c:pt idx="43">
                  <c:v>0.95340000000000003</c:v>
                </c:pt>
                <c:pt idx="44">
                  <c:v>0.89229999999999998</c:v>
                </c:pt>
                <c:pt idx="45">
                  <c:v>1.1727000000000001</c:v>
                </c:pt>
                <c:pt idx="46">
                  <c:v>1.3613</c:v>
                </c:pt>
                <c:pt idx="47">
                  <c:v>1.3051999999999999</c:v>
                </c:pt>
                <c:pt idx="48">
                  <c:v>1.3766</c:v>
                </c:pt>
                <c:pt idx="49">
                  <c:v>1.6518999999999999</c:v>
                </c:pt>
                <c:pt idx="50">
                  <c:v>1.8354999999999999</c:v>
                </c:pt>
                <c:pt idx="51">
                  <c:v>2.0343</c:v>
                </c:pt>
                <c:pt idx="52">
                  <c:v>1.9375</c:v>
                </c:pt>
                <c:pt idx="53">
                  <c:v>2.0394000000000001</c:v>
                </c:pt>
                <c:pt idx="54">
                  <c:v>1.968</c:v>
                </c:pt>
                <c:pt idx="55">
                  <c:v>1.3255999999999999</c:v>
                </c:pt>
                <c:pt idx="56">
                  <c:v>0.76480000000000004</c:v>
                </c:pt>
                <c:pt idx="57">
                  <c:v>0.5323</c:v>
                </c:pt>
                <c:pt idx="58">
                  <c:v>0.48949999999999999</c:v>
                </c:pt>
                <c:pt idx="59">
                  <c:v>0.3518</c:v>
                </c:pt>
                <c:pt idx="60">
                  <c:v>0.28549999999999998</c:v>
                </c:pt>
                <c:pt idx="61">
                  <c:v>0.23960000000000001</c:v>
                </c:pt>
                <c:pt idx="62">
                  <c:v>0.22939999999999999</c:v>
                </c:pt>
                <c:pt idx="63">
                  <c:v>0.2039</c:v>
                </c:pt>
                <c:pt idx="64">
                  <c:v>0.18859999999999999</c:v>
                </c:pt>
                <c:pt idx="65">
                  <c:v>0.12239999999999999</c:v>
                </c:pt>
                <c:pt idx="66">
                  <c:v>0.104</c:v>
                </c:pt>
                <c:pt idx="67">
                  <c:v>9.1800000000000007E-2</c:v>
                </c:pt>
                <c:pt idx="68">
                  <c:v>8.3599999999999994E-2</c:v>
                </c:pt>
                <c:pt idx="69">
                  <c:v>5.2999999999999999E-2</c:v>
                </c:pt>
                <c:pt idx="70">
                  <c:v>5.91E-2</c:v>
                </c:pt>
                <c:pt idx="71">
                  <c:v>5.0999999999999997E-2</c:v>
                </c:pt>
                <c:pt idx="72">
                  <c:v>2.86E-2</c:v>
                </c:pt>
                <c:pt idx="73">
                  <c:v>2.24E-2</c:v>
                </c:pt>
                <c:pt idx="74">
                  <c:v>2.0400000000000001E-2</c:v>
                </c:pt>
                <c:pt idx="75">
                  <c:v>1.6299999999999999E-2</c:v>
                </c:pt>
                <c:pt idx="76">
                  <c:v>1.2200000000000001E-2</c:v>
                </c:pt>
                <c:pt idx="77">
                  <c:v>1.0200000000000001E-2</c:v>
                </c:pt>
                <c:pt idx="78">
                  <c:v>8.2000000000000007E-3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55-431E-BCCF-7F159E243E87}"/>
            </c:ext>
          </c:extLst>
        </c:ser>
        <c:ser>
          <c:idx val="3"/>
          <c:order val="2"/>
          <c:tx>
            <c:strRef>
              <c:f>'2026-PSA-CIRS'!$G$2</c:f>
              <c:strCache>
                <c:ptCount val="1"/>
                <c:pt idx="0">
                  <c:v>Sismo2026-CIRS - Vert (%g)</c:v>
                </c:pt>
              </c:strCache>
            </c:strRef>
          </c:tx>
          <c:spPr>
            <a:ln w="9525" cap="rnd">
              <a:solidFill>
                <a:srgbClr val="00B05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'2026-PSA-CIRS'!$A$3:$A$81</c:f>
              <c:numCache>
                <c:formatCode>General</c:formatCode>
                <c:ptCount val="7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6.5000000000000002E-2</c:v>
                </c:pt>
                <c:pt idx="17">
                  <c:v>7.0000000000000007E-2</c:v>
                </c:pt>
                <c:pt idx="18">
                  <c:v>7.4999999999999997E-2</c:v>
                </c:pt>
                <c:pt idx="19">
                  <c:v>0.08</c:v>
                </c:pt>
                <c:pt idx="20">
                  <c:v>8.5000000000000006E-2</c:v>
                </c:pt>
                <c:pt idx="21">
                  <c:v>0.09</c:v>
                </c:pt>
                <c:pt idx="22">
                  <c:v>9.5000000000000001E-2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0.13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0.17</c:v>
                </c:pt>
                <c:pt idx="31">
                  <c:v>0.18</c:v>
                </c:pt>
                <c:pt idx="32">
                  <c:v>0.19</c:v>
                </c:pt>
                <c:pt idx="33">
                  <c:v>0.2</c:v>
                </c:pt>
                <c:pt idx="34">
                  <c:v>0.22</c:v>
                </c:pt>
                <c:pt idx="35">
                  <c:v>0.24</c:v>
                </c:pt>
                <c:pt idx="36">
                  <c:v>0.25</c:v>
                </c:pt>
                <c:pt idx="37">
                  <c:v>0.26</c:v>
                </c:pt>
                <c:pt idx="38">
                  <c:v>0.27</c:v>
                </c:pt>
                <c:pt idx="39">
                  <c:v>0.28000000000000003</c:v>
                </c:pt>
                <c:pt idx="40">
                  <c:v>0.28999999999999998</c:v>
                </c:pt>
                <c:pt idx="41">
                  <c:v>0.31</c:v>
                </c:pt>
                <c:pt idx="42">
                  <c:v>0.33</c:v>
                </c:pt>
                <c:pt idx="43">
                  <c:v>0.35</c:v>
                </c:pt>
                <c:pt idx="44">
                  <c:v>0.38</c:v>
                </c:pt>
                <c:pt idx="45">
                  <c:v>0.4</c:v>
                </c:pt>
                <c:pt idx="46">
                  <c:v>0.42</c:v>
                </c:pt>
                <c:pt idx="47">
                  <c:v>0.44</c:v>
                </c:pt>
                <c:pt idx="48">
                  <c:v>0.46</c:v>
                </c:pt>
                <c:pt idx="49">
                  <c:v>0.5</c:v>
                </c:pt>
                <c:pt idx="50">
                  <c:v>0.52</c:v>
                </c:pt>
                <c:pt idx="51">
                  <c:v>0.54</c:v>
                </c:pt>
                <c:pt idx="52">
                  <c:v>0.56000000000000005</c:v>
                </c:pt>
                <c:pt idx="53">
                  <c:v>0.57999999999999996</c:v>
                </c:pt>
                <c:pt idx="54">
                  <c:v>0.6</c:v>
                </c:pt>
                <c:pt idx="55">
                  <c:v>0.65</c:v>
                </c:pt>
                <c:pt idx="56">
                  <c:v>0.7</c:v>
                </c:pt>
                <c:pt idx="57">
                  <c:v>0.75</c:v>
                </c:pt>
                <c:pt idx="58">
                  <c:v>0.8</c:v>
                </c:pt>
                <c:pt idx="59">
                  <c:v>0.85</c:v>
                </c:pt>
                <c:pt idx="60">
                  <c:v>0.9</c:v>
                </c:pt>
                <c:pt idx="61">
                  <c:v>0.95</c:v>
                </c:pt>
                <c:pt idx="62">
                  <c:v>1</c:v>
                </c:pt>
                <c:pt idx="63">
                  <c:v>1.1000000000000001</c:v>
                </c:pt>
                <c:pt idx="64">
                  <c:v>1.2</c:v>
                </c:pt>
                <c:pt idx="65">
                  <c:v>1.3</c:v>
                </c:pt>
                <c:pt idx="66">
                  <c:v>1.4</c:v>
                </c:pt>
                <c:pt idx="67">
                  <c:v>1.5</c:v>
                </c:pt>
                <c:pt idx="68">
                  <c:v>1.6</c:v>
                </c:pt>
                <c:pt idx="69">
                  <c:v>1.8</c:v>
                </c:pt>
                <c:pt idx="70">
                  <c:v>2</c:v>
                </c:pt>
                <c:pt idx="71">
                  <c:v>2.2000000000000002</c:v>
                </c:pt>
                <c:pt idx="72">
                  <c:v>2.5</c:v>
                </c:pt>
                <c:pt idx="73">
                  <c:v>2.8</c:v>
                </c:pt>
                <c:pt idx="74">
                  <c:v>3</c:v>
                </c:pt>
                <c:pt idx="75">
                  <c:v>3.5</c:v>
                </c:pt>
                <c:pt idx="76">
                  <c:v>4</c:v>
                </c:pt>
                <c:pt idx="77">
                  <c:v>4.5</c:v>
                </c:pt>
                <c:pt idx="78">
                  <c:v>5</c:v>
                </c:pt>
              </c:numCache>
            </c:numRef>
          </c:xVal>
          <c:yVal>
            <c:numRef>
              <c:f>'2026-PSA-CIRS'!$G$3:$G$81</c:f>
              <c:numCache>
                <c:formatCode>0.00%</c:formatCode>
                <c:ptCount val="79"/>
                <c:pt idx="0">
                  <c:v>9.2799999999999994E-2</c:v>
                </c:pt>
                <c:pt idx="1">
                  <c:v>9.2799999999999994E-2</c:v>
                </c:pt>
                <c:pt idx="2">
                  <c:v>9.3799999999999994E-2</c:v>
                </c:pt>
                <c:pt idx="3">
                  <c:v>9.4799999999999995E-2</c:v>
                </c:pt>
                <c:pt idx="4">
                  <c:v>9.7900000000000001E-2</c:v>
                </c:pt>
                <c:pt idx="5">
                  <c:v>9.5899999999999999E-2</c:v>
                </c:pt>
                <c:pt idx="6">
                  <c:v>9.5899999999999999E-2</c:v>
                </c:pt>
                <c:pt idx="7">
                  <c:v>9.5899999999999999E-2</c:v>
                </c:pt>
                <c:pt idx="8">
                  <c:v>9.4799999999999995E-2</c:v>
                </c:pt>
                <c:pt idx="9">
                  <c:v>9.8900000000000002E-2</c:v>
                </c:pt>
                <c:pt idx="10">
                  <c:v>0.104</c:v>
                </c:pt>
                <c:pt idx="11">
                  <c:v>0.1162</c:v>
                </c:pt>
                <c:pt idx="12">
                  <c:v>0.1152</c:v>
                </c:pt>
                <c:pt idx="13">
                  <c:v>0.12239999999999999</c:v>
                </c:pt>
                <c:pt idx="14">
                  <c:v>0.1142</c:v>
                </c:pt>
                <c:pt idx="15">
                  <c:v>0.1101</c:v>
                </c:pt>
                <c:pt idx="16">
                  <c:v>0.1173</c:v>
                </c:pt>
                <c:pt idx="17">
                  <c:v>0.1142</c:v>
                </c:pt>
                <c:pt idx="18">
                  <c:v>0.1305</c:v>
                </c:pt>
                <c:pt idx="19">
                  <c:v>0.15809999999999999</c:v>
                </c:pt>
                <c:pt idx="20">
                  <c:v>0.21410000000000001</c:v>
                </c:pt>
                <c:pt idx="21">
                  <c:v>0.23960000000000001</c:v>
                </c:pt>
                <c:pt idx="22">
                  <c:v>0.2223</c:v>
                </c:pt>
                <c:pt idx="23">
                  <c:v>0.25290000000000001</c:v>
                </c:pt>
                <c:pt idx="24">
                  <c:v>0.2039</c:v>
                </c:pt>
                <c:pt idx="25">
                  <c:v>0.19370000000000001</c:v>
                </c:pt>
                <c:pt idx="26">
                  <c:v>0.25290000000000001</c:v>
                </c:pt>
                <c:pt idx="27">
                  <c:v>0.23449999999999999</c:v>
                </c:pt>
                <c:pt idx="28">
                  <c:v>0.1958</c:v>
                </c:pt>
                <c:pt idx="29">
                  <c:v>0.21920000000000001</c:v>
                </c:pt>
                <c:pt idx="30">
                  <c:v>0.23250000000000001</c:v>
                </c:pt>
                <c:pt idx="31">
                  <c:v>0.2702</c:v>
                </c:pt>
                <c:pt idx="32">
                  <c:v>0.28349999999999997</c:v>
                </c:pt>
                <c:pt idx="33">
                  <c:v>0.31409999999999999</c:v>
                </c:pt>
                <c:pt idx="34">
                  <c:v>0.28549999999999998</c:v>
                </c:pt>
                <c:pt idx="35">
                  <c:v>0.25490000000000002</c:v>
                </c:pt>
                <c:pt idx="36">
                  <c:v>0.31609999999999999</c:v>
                </c:pt>
                <c:pt idx="37">
                  <c:v>0.34670000000000001</c:v>
                </c:pt>
                <c:pt idx="38">
                  <c:v>0.34470000000000001</c:v>
                </c:pt>
                <c:pt idx="39">
                  <c:v>0.3977</c:v>
                </c:pt>
                <c:pt idx="40">
                  <c:v>0.42320000000000002</c:v>
                </c:pt>
                <c:pt idx="41">
                  <c:v>0.3977</c:v>
                </c:pt>
                <c:pt idx="42">
                  <c:v>0.34670000000000001</c:v>
                </c:pt>
                <c:pt idx="43">
                  <c:v>0.2651</c:v>
                </c:pt>
                <c:pt idx="44">
                  <c:v>0.22939999999999999</c:v>
                </c:pt>
                <c:pt idx="45">
                  <c:v>0.2019</c:v>
                </c:pt>
                <c:pt idx="46">
                  <c:v>0.1784</c:v>
                </c:pt>
                <c:pt idx="47">
                  <c:v>0.1784</c:v>
                </c:pt>
                <c:pt idx="48">
                  <c:v>0.1754</c:v>
                </c:pt>
                <c:pt idx="49">
                  <c:v>0.18149999999999999</c:v>
                </c:pt>
                <c:pt idx="50">
                  <c:v>0.16819999999999999</c:v>
                </c:pt>
                <c:pt idx="51">
                  <c:v>0.14069999999999999</c:v>
                </c:pt>
                <c:pt idx="52">
                  <c:v>0.1203</c:v>
                </c:pt>
                <c:pt idx="53">
                  <c:v>0.1346</c:v>
                </c:pt>
                <c:pt idx="54">
                  <c:v>0.1244</c:v>
                </c:pt>
                <c:pt idx="55">
                  <c:v>0.1101</c:v>
                </c:pt>
                <c:pt idx="56">
                  <c:v>0.13769999999999999</c:v>
                </c:pt>
                <c:pt idx="57">
                  <c:v>0.1275</c:v>
                </c:pt>
                <c:pt idx="58">
                  <c:v>8.6699999999999999E-2</c:v>
                </c:pt>
                <c:pt idx="59">
                  <c:v>6.3200000000000006E-2</c:v>
                </c:pt>
                <c:pt idx="60">
                  <c:v>6.4199999999999993E-2</c:v>
                </c:pt>
                <c:pt idx="61">
                  <c:v>6.1199999999999997E-2</c:v>
                </c:pt>
                <c:pt idx="62">
                  <c:v>4.2799999999999998E-2</c:v>
                </c:pt>
                <c:pt idx="63">
                  <c:v>3.8699999999999998E-2</c:v>
                </c:pt>
                <c:pt idx="64">
                  <c:v>4.0800000000000003E-2</c:v>
                </c:pt>
                <c:pt idx="65">
                  <c:v>3.2599999999999997E-2</c:v>
                </c:pt>
                <c:pt idx="66">
                  <c:v>3.0599999999999999E-2</c:v>
                </c:pt>
                <c:pt idx="67">
                  <c:v>2.86E-2</c:v>
                </c:pt>
                <c:pt idx="68">
                  <c:v>1.84E-2</c:v>
                </c:pt>
                <c:pt idx="69">
                  <c:v>2.0400000000000001E-2</c:v>
                </c:pt>
                <c:pt idx="70">
                  <c:v>2.1399999999999999E-2</c:v>
                </c:pt>
                <c:pt idx="71">
                  <c:v>1.5299999999999999E-2</c:v>
                </c:pt>
                <c:pt idx="72">
                  <c:v>8.2000000000000007E-3</c:v>
                </c:pt>
                <c:pt idx="73">
                  <c:v>6.1000000000000004E-3</c:v>
                </c:pt>
                <c:pt idx="74">
                  <c:v>5.1000000000000004E-3</c:v>
                </c:pt>
                <c:pt idx="75">
                  <c:v>4.1000000000000003E-3</c:v>
                </c:pt>
                <c:pt idx="76">
                  <c:v>3.0999999999999999E-3</c:v>
                </c:pt>
                <c:pt idx="77">
                  <c:v>2E-3</c:v>
                </c:pt>
                <c:pt idx="78">
                  <c:v>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55-431E-BCCF-7F159E243E87}"/>
            </c:ext>
          </c:extLst>
        </c:ser>
        <c:ser>
          <c:idx val="4"/>
          <c:order val="3"/>
          <c:tx>
            <c:strRef>
              <c:f>ESPECTRO_NSR10!$N$28</c:f>
              <c:strCache>
                <c:ptCount val="1"/>
                <c:pt idx="0">
                  <c:v>Espec. NSR-10, Suelo D, Aa=0.25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ESPECTRO_NSR10!$A$13:$A$65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0.70153846153846156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ESPECTRO_NSR10!$B$13:$B$65</c:f>
              <c:numCache>
                <c:formatCode>0.0000</c:formatCode>
                <c:ptCount val="53"/>
                <c:pt idx="0">
                  <c:v>0.32499999999999996</c:v>
                </c:pt>
                <c:pt idx="1">
                  <c:v>0.81249999999999989</c:v>
                </c:pt>
                <c:pt idx="2">
                  <c:v>0.81249999999999989</c:v>
                </c:pt>
                <c:pt idx="3">
                  <c:v>0.71249999999999991</c:v>
                </c:pt>
                <c:pt idx="4">
                  <c:v>0.6333333333333333</c:v>
                </c:pt>
                <c:pt idx="5">
                  <c:v>0.56999999999999995</c:v>
                </c:pt>
                <c:pt idx="6">
                  <c:v>0.51818181818181808</c:v>
                </c:pt>
                <c:pt idx="7">
                  <c:v>0.47499999999999987</c:v>
                </c:pt>
                <c:pt idx="8">
                  <c:v>0.43846153846153835</c:v>
                </c:pt>
                <c:pt idx="9">
                  <c:v>0.40714285714285703</c:v>
                </c:pt>
                <c:pt idx="10">
                  <c:v>0.37999999999999984</c:v>
                </c:pt>
                <c:pt idx="11">
                  <c:v>0.35624999999999984</c:v>
                </c:pt>
                <c:pt idx="12">
                  <c:v>0.33529411764705869</c:v>
                </c:pt>
                <c:pt idx="13">
                  <c:v>0.31666666666666654</c:v>
                </c:pt>
                <c:pt idx="14">
                  <c:v>0.29999999999999982</c:v>
                </c:pt>
                <c:pt idx="15">
                  <c:v>0.28499999999999986</c:v>
                </c:pt>
                <c:pt idx="16">
                  <c:v>0.2714285714285713</c:v>
                </c:pt>
                <c:pt idx="17">
                  <c:v>0.25909090909090893</c:v>
                </c:pt>
                <c:pt idx="18">
                  <c:v>0.24782608695652159</c:v>
                </c:pt>
                <c:pt idx="19">
                  <c:v>0.23749999999999985</c:v>
                </c:pt>
                <c:pt idx="20">
                  <c:v>0.22799999999999987</c:v>
                </c:pt>
                <c:pt idx="21">
                  <c:v>0.21923076923076909</c:v>
                </c:pt>
                <c:pt idx="22">
                  <c:v>0.21111111111111097</c:v>
                </c:pt>
                <c:pt idx="23">
                  <c:v>0.20357142857142843</c:v>
                </c:pt>
                <c:pt idx="24">
                  <c:v>0.1965517241379309</c:v>
                </c:pt>
                <c:pt idx="25">
                  <c:v>0.18999999999999986</c:v>
                </c:pt>
                <c:pt idx="26">
                  <c:v>0.18387096774193537</c:v>
                </c:pt>
                <c:pt idx="27">
                  <c:v>0.17812499999999987</c:v>
                </c:pt>
                <c:pt idx="28">
                  <c:v>0.17272727272727262</c:v>
                </c:pt>
                <c:pt idx="29">
                  <c:v>0.16764705882352929</c:v>
                </c:pt>
                <c:pt idx="30">
                  <c:v>0.16285714285714273</c:v>
                </c:pt>
                <c:pt idx="31">
                  <c:v>0.15833333333333321</c:v>
                </c:pt>
                <c:pt idx="32">
                  <c:v>0.15405405405405395</c:v>
                </c:pt>
                <c:pt idx="33">
                  <c:v>0.14999999999999988</c:v>
                </c:pt>
                <c:pt idx="34">
                  <c:v>0.14615384615384605</c:v>
                </c:pt>
                <c:pt idx="35">
                  <c:v>0.1424999999999999</c:v>
                </c:pt>
                <c:pt idx="36">
                  <c:v>0.13902439024390234</c:v>
                </c:pt>
                <c:pt idx="37">
                  <c:v>0.13571428571428565</c:v>
                </c:pt>
                <c:pt idx="38">
                  <c:v>0.13255813953488366</c:v>
                </c:pt>
                <c:pt idx="39">
                  <c:v>0.12954545454545449</c:v>
                </c:pt>
                <c:pt idx="40">
                  <c:v>0.12666666666666662</c:v>
                </c:pt>
                <c:pt idx="41">
                  <c:v>0.12283553875236292</c:v>
                </c:pt>
                <c:pt idx="42">
                  <c:v>0.1176641014033499</c:v>
                </c:pt>
                <c:pt idx="43">
                  <c:v>0.1128125</c:v>
                </c:pt>
                <c:pt idx="44">
                  <c:v>0.1082548937942524</c:v>
                </c:pt>
                <c:pt idx="45">
                  <c:v>0.10396800000000002</c:v>
                </c:pt>
                <c:pt idx="46">
                  <c:v>9.99307958477509E-2</c:v>
                </c:pt>
                <c:pt idx="47">
                  <c:v>9.6124260355029634E-2</c:v>
                </c:pt>
                <c:pt idx="48">
                  <c:v>9.2531149875400565E-2</c:v>
                </c:pt>
                <c:pt idx="49">
                  <c:v>8.9135802469135869E-2</c:v>
                </c:pt>
                <c:pt idx="50">
                  <c:v>8.5923966942148836E-2</c:v>
                </c:pt>
                <c:pt idx="51">
                  <c:v>8.2882653061224568E-2</c:v>
                </c:pt>
                <c:pt idx="52">
                  <c:v>8.0000000000000085E-2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555-431E-BCCF-7F159E243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5136"/>
        <c:axId val="378706312"/>
      </c:scatterChart>
      <c:valAx>
        <c:axId val="378705136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6312"/>
        <c:crosses val="autoZero"/>
        <c:crossBetween val="midCat"/>
      </c:valAx>
      <c:valAx>
        <c:axId val="37870631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366" r="0.75000000000000366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Espectro de respuesta</a:t>
            </a:r>
            <a:r>
              <a:rPr lang="es-ES" baseline="0"/>
              <a:t> elástica, seuda-aceleración PSA 5%.</a:t>
            </a:r>
            <a:br>
              <a:rPr lang="es-ES" baseline="0"/>
            </a:br>
            <a:r>
              <a:rPr lang="es-ES" baseline="0"/>
              <a:t>Filandia, Qundío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'2026-PSA-FLND'!$E$2</c:f>
              <c:strCache>
                <c:ptCount val="1"/>
                <c:pt idx="0">
                  <c:v>Sismo2026-FLND - EW (%g)</c:v>
                </c:pt>
              </c:strCache>
            </c:strRef>
          </c:tx>
          <c:spPr>
            <a:ln w="9525" cap="rnd">
              <a:solidFill>
                <a:srgbClr val="FF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'2026-PSA-FLND'!$A$3:$A$69</c:f>
              <c:numCache>
                <c:formatCode>General</c:formatCode>
                <c:ptCount val="67"/>
                <c:pt idx="0">
                  <c:v>0.01</c:v>
                </c:pt>
                <c:pt idx="1">
                  <c:v>1.2E-2</c:v>
                </c:pt>
                <c:pt idx="2">
                  <c:v>1.4999999999999999E-2</c:v>
                </c:pt>
                <c:pt idx="3">
                  <c:v>1.7999999999999999E-2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0.115</c:v>
                </c:pt>
                <c:pt idx="23">
                  <c:v>0.125</c:v>
                </c:pt>
                <c:pt idx="24">
                  <c:v>0.13500000000000001</c:v>
                </c:pt>
                <c:pt idx="25">
                  <c:v>0.14499999999999999</c:v>
                </c:pt>
                <c:pt idx="26">
                  <c:v>0.155</c:v>
                </c:pt>
                <c:pt idx="27">
                  <c:v>0.16500000000000001</c:v>
                </c:pt>
                <c:pt idx="28">
                  <c:v>0.17499999999999999</c:v>
                </c:pt>
                <c:pt idx="29">
                  <c:v>0.19</c:v>
                </c:pt>
                <c:pt idx="30">
                  <c:v>0.215</c:v>
                </c:pt>
                <c:pt idx="31">
                  <c:v>0.23</c:v>
                </c:pt>
                <c:pt idx="32">
                  <c:v>0.25</c:v>
                </c:pt>
                <c:pt idx="33">
                  <c:v>0.26500000000000001</c:v>
                </c:pt>
                <c:pt idx="34">
                  <c:v>0.28999999999999998</c:v>
                </c:pt>
                <c:pt idx="35">
                  <c:v>0.31</c:v>
                </c:pt>
                <c:pt idx="36">
                  <c:v>0.34</c:v>
                </c:pt>
                <c:pt idx="37">
                  <c:v>0.38</c:v>
                </c:pt>
                <c:pt idx="38">
                  <c:v>0.4</c:v>
                </c:pt>
                <c:pt idx="39">
                  <c:v>0.42</c:v>
                </c:pt>
                <c:pt idx="40">
                  <c:v>0.46</c:v>
                </c:pt>
                <c:pt idx="41">
                  <c:v>0.48</c:v>
                </c:pt>
                <c:pt idx="42">
                  <c:v>0.52</c:v>
                </c:pt>
                <c:pt idx="43">
                  <c:v>0.56000000000000005</c:v>
                </c:pt>
                <c:pt idx="44">
                  <c:v>0.62</c:v>
                </c:pt>
                <c:pt idx="45">
                  <c:v>0.68</c:v>
                </c:pt>
                <c:pt idx="46">
                  <c:v>0.72</c:v>
                </c:pt>
                <c:pt idx="47">
                  <c:v>0.78</c:v>
                </c:pt>
                <c:pt idx="48">
                  <c:v>0.85</c:v>
                </c:pt>
                <c:pt idx="49">
                  <c:v>0.9</c:v>
                </c:pt>
                <c:pt idx="50">
                  <c:v>1</c:v>
                </c:pt>
                <c:pt idx="51">
                  <c:v>1.1000000000000001</c:v>
                </c:pt>
                <c:pt idx="52">
                  <c:v>1.2</c:v>
                </c:pt>
                <c:pt idx="53">
                  <c:v>1.3</c:v>
                </c:pt>
                <c:pt idx="54">
                  <c:v>1.4</c:v>
                </c:pt>
                <c:pt idx="55">
                  <c:v>1.5</c:v>
                </c:pt>
                <c:pt idx="56">
                  <c:v>1.6</c:v>
                </c:pt>
                <c:pt idx="57">
                  <c:v>1.8</c:v>
                </c:pt>
                <c:pt idx="58">
                  <c:v>2</c:v>
                </c:pt>
                <c:pt idx="59">
                  <c:v>2.2000000000000002</c:v>
                </c:pt>
                <c:pt idx="60">
                  <c:v>2.5</c:v>
                </c:pt>
                <c:pt idx="61">
                  <c:v>2.8</c:v>
                </c:pt>
                <c:pt idx="62">
                  <c:v>3</c:v>
                </c:pt>
                <c:pt idx="63">
                  <c:v>3.5</c:v>
                </c:pt>
                <c:pt idx="64">
                  <c:v>4</c:v>
                </c:pt>
                <c:pt idx="65">
                  <c:v>4.5</c:v>
                </c:pt>
                <c:pt idx="66">
                  <c:v>5</c:v>
                </c:pt>
              </c:numCache>
            </c:numRef>
          </c:xVal>
          <c:yVal>
            <c:numRef>
              <c:f>'2026-PSA-FLND'!$E$3:$E$69</c:f>
              <c:numCache>
                <c:formatCode>0.00%</c:formatCode>
                <c:ptCount val="67"/>
                <c:pt idx="0">
                  <c:v>0.43340000000000001</c:v>
                </c:pt>
                <c:pt idx="1">
                  <c:v>0.44359999999999999</c:v>
                </c:pt>
                <c:pt idx="2">
                  <c:v>0.4466</c:v>
                </c:pt>
                <c:pt idx="3">
                  <c:v>0.45379999999999998</c:v>
                </c:pt>
                <c:pt idx="4">
                  <c:v>0.45889999999999997</c:v>
                </c:pt>
                <c:pt idx="5">
                  <c:v>0.4793</c:v>
                </c:pt>
                <c:pt idx="6">
                  <c:v>0.49149999999999999</c:v>
                </c:pt>
                <c:pt idx="7">
                  <c:v>0.50780000000000003</c:v>
                </c:pt>
                <c:pt idx="8">
                  <c:v>0.50170000000000003</c:v>
                </c:pt>
                <c:pt idx="9">
                  <c:v>0.5353</c:v>
                </c:pt>
                <c:pt idx="10">
                  <c:v>0.50990000000000002</c:v>
                </c:pt>
                <c:pt idx="11">
                  <c:v>0.5353</c:v>
                </c:pt>
                <c:pt idx="12">
                  <c:v>0.55059999999999998</c:v>
                </c:pt>
                <c:pt idx="13">
                  <c:v>0.52010000000000001</c:v>
                </c:pt>
                <c:pt idx="14">
                  <c:v>0.58630000000000004</c:v>
                </c:pt>
                <c:pt idx="15">
                  <c:v>0.58330000000000004</c:v>
                </c:pt>
                <c:pt idx="16">
                  <c:v>0.54039999999999999</c:v>
                </c:pt>
                <c:pt idx="17">
                  <c:v>0.57099999999999995</c:v>
                </c:pt>
                <c:pt idx="18">
                  <c:v>0.57310000000000005</c:v>
                </c:pt>
                <c:pt idx="19">
                  <c:v>0.49759999999999999</c:v>
                </c:pt>
                <c:pt idx="20">
                  <c:v>0.55059999999999998</c:v>
                </c:pt>
                <c:pt idx="21">
                  <c:v>0.63219999999999998</c:v>
                </c:pt>
                <c:pt idx="22">
                  <c:v>0.73929999999999996</c:v>
                </c:pt>
                <c:pt idx="23">
                  <c:v>0.62409999999999999</c:v>
                </c:pt>
                <c:pt idx="24">
                  <c:v>0.61180000000000001</c:v>
                </c:pt>
                <c:pt idx="25">
                  <c:v>0.46400000000000002</c:v>
                </c:pt>
                <c:pt idx="26">
                  <c:v>0.55269999999999997</c:v>
                </c:pt>
                <c:pt idx="27">
                  <c:v>0.47720000000000001</c:v>
                </c:pt>
                <c:pt idx="28">
                  <c:v>0.54859999999999998</c:v>
                </c:pt>
                <c:pt idx="29">
                  <c:v>0.72909999999999997</c:v>
                </c:pt>
                <c:pt idx="30">
                  <c:v>0.65769999999999995</c:v>
                </c:pt>
                <c:pt idx="31">
                  <c:v>0.67510000000000003</c:v>
                </c:pt>
                <c:pt idx="32">
                  <c:v>0.65259999999999996</c:v>
                </c:pt>
                <c:pt idx="33">
                  <c:v>0.62709999999999999</c:v>
                </c:pt>
                <c:pt idx="34">
                  <c:v>0.69540000000000002</c:v>
                </c:pt>
                <c:pt idx="35">
                  <c:v>0.98399999999999999</c:v>
                </c:pt>
                <c:pt idx="36">
                  <c:v>0.84130000000000005</c:v>
                </c:pt>
                <c:pt idx="37">
                  <c:v>0.57609999999999995</c:v>
                </c:pt>
                <c:pt idx="38">
                  <c:v>0.49459999999999998</c:v>
                </c:pt>
                <c:pt idx="39">
                  <c:v>0.71379999999999999</c:v>
                </c:pt>
                <c:pt idx="40">
                  <c:v>0.65059999999999996</c:v>
                </c:pt>
                <c:pt idx="41">
                  <c:v>0.77500000000000002</c:v>
                </c:pt>
                <c:pt idx="42">
                  <c:v>0.96360000000000001</c:v>
                </c:pt>
                <c:pt idx="43">
                  <c:v>1.1114999999999999</c:v>
                </c:pt>
                <c:pt idx="44">
                  <c:v>0.89739999999999998</c:v>
                </c:pt>
                <c:pt idx="45">
                  <c:v>0.61180000000000001</c:v>
                </c:pt>
                <c:pt idx="46">
                  <c:v>0.43340000000000001</c:v>
                </c:pt>
                <c:pt idx="47">
                  <c:v>0.3569</c:v>
                </c:pt>
                <c:pt idx="48">
                  <c:v>0.22939999999999999</c:v>
                </c:pt>
                <c:pt idx="49">
                  <c:v>0.2447</c:v>
                </c:pt>
                <c:pt idx="50">
                  <c:v>0.1835</c:v>
                </c:pt>
                <c:pt idx="51">
                  <c:v>0.15290000000000001</c:v>
                </c:pt>
                <c:pt idx="52">
                  <c:v>0.1101</c:v>
                </c:pt>
                <c:pt idx="53">
                  <c:v>7.9500000000000001E-2</c:v>
                </c:pt>
                <c:pt idx="54">
                  <c:v>7.6499999999999999E-2</c:v>
                </c:pt>
                <c:pt idx="55">
                  <c:v>7.9500000000000001E-2</c:v>
                </c:pt>
                <c:pt idx="56">
                  <c:v>6.3200000000000006E-2</c:v>
                </c:pt>
                <c:pt idx="57">
                  <c:v>8.3599999999999994E-2</c:v>
                </c:pt>
                <c:pt idx="58">
                  <c:v>9.3799999999999994E-2</c:v>
                </c:pt>
                <c:pt idx="59">
                  <c:v>5.0999999999999997E-2</c:v>
                </c:pt>
                <c:pt idx="60">
                  <c:v>4.5900000000000003E-2</c:v>
                </c:pt>
                <c:pt idx="61">
                  <c:v>2.5499999999999998E-2</c:v>
                </c:pt>
                <c:pt idx="62">
                  <c:v>2.0400000000000001E-2</c:v>
                </c:pt>
                <c:pt idx="63">
                  <c:v>1.84E-2</c:v>
                </c:pt>
                <c:pt idx="64">
                  <c:v>1.2200000000000001E-2</c:v>
                </c:pt>
                <c:pt idx="65">
                  <c:v>8.2000000000000007E-3</c:v>
                </c:pt>
                <c:pt idx="66">
                  <c:v>5.1000000000000004E-3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32-45D0-A108-FA951254E325}"/>
            </c:ext>
          </c:extLst>
        </c:ser>
        <c:ser>
          <c:idx val="2"/>
          <c:order val="1"/>
          <c:tx>
            <c:strRef>
              <c:f>'2026-PSA-FLND'!$F$2</c:f>
              <c:strCache>
                <c:ptCount val="1"/>
                <c:pt idx="0">
                  <c:v>Sismo2026-FLND - NS (%g)</c:v>
                </c:pt>
              </c:strCache>
            </c:strRef>
          </c:tx>
          <c:spPr>
            <a:ln w="9525" cap="rnd">
              <a:solidFill>
                <a:srgbClr val="00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'2026-PSA-FLND'!$A$3:$A$69</c:f>
              <c:numCache>
                <c:formatCode>General</c:formatCode>
                <c:ptCount val="67"/>
                <c:pt idx="0">
                  <c:v>0.01</c:v>
                </c:pt>
                <c:pt idx="1">
                  <c:v>1.2E-2</c:v>
                </c:pt>
                <c:pt idx="2">
                  <c:v>1.4999999999999999E-2</c:v>
                </c:pt>
                <c:pt idx="3">
                  <c:v>1.7999999999999999E-2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0.115</c:v>
                </c:pt>
                <c:pt idx="23">
                  <c:v>0.125</c:v>
                </c:pt>
                <c:pt idx="24">
                  <c:v>0.13500000000000001</c:v>
                </c:pt>
                <c:pt idx="25">
                  <c:v>0.14499999999999999</c:v>
                </c:pt>
                <c:pt idx="26">
                  <c:v>0.155</c:v>
                </c:pt>
                <c:pt idx="27">
                  <c:v>0.16500000000000001</c:v>
                </c:pt>
                <c:pt idx="28">
                  <c:v>0.17499999999999999</c:v>
                </c:pt>
                <c:pt idx="29">
                  <c:v>0.19</c:v>
                </c:pt>
                <c:pt idx="30">
                  <c:v>0.215</c:v>
                </c:pt>
                <c:pt idx="31">
                  <c:v>0.23</c:v>
                </c:pt>
                <c:pt idx="32">
                  <c:v>0.25</c:v>
                </c:pt>
                <c:pt idx="33">
                  <c:v>0.26500000000000001</c:v>
                </c:pt>
                <c:pt idx="34">
                  <c:v>0.28999999999999998</c:v>
                </c:pt>
                <c:pt idx="35">
                  <c:v>0.31</c:v>
                </c:pt>
                <c:pt idx="36">
                  <c:v>0.34</c:v>
                </c:pt>
                <c:pt idx="37">
                  <c:v>0.38</c:v>
                </c:pt>
                <c:pt idx="38">
                  <c:v>0.4</c:v>
                </c:pt>
                <c:pt idx="39">
                  <c:v>0.42</c:v>
                </c:pt>
                <c:pt idx="40">
                  <c:v>0.46</c:v>
                </c:pt>
                <c:pt idx="41">
                  <c:v>0.48</c:v>
                </c:pt>
                <c:pt idx="42">
                  <c:v>0.52</c:v>
                </c:pt>
                <c:pt idx="43">
                  <c:v>0.56000000000000005</c:v>
                </c:pt>
                <c:pt idx="44">
                  <c:v>0.62</c:v>
                </c:pt>
                <c:pt idx="45">
                  <c:v>0.68</c:v>
                </c:pt>
                <c:pt idx="46">
                  <c:v>0.72</c:v>
                </c:pt>
                <c:pt idx="47">
                  <c:v>0.78</c:v>
                </c:pt>
                <c:pt idx="48">
                  <c:v>0.85</c:v>
                </c:pt>
                <c:pt idx="49">
                  <c:v>0.9</c:v>
                </c:pt>
                <c:pt idx="50">
                  <c:v>1</c:v>
                </c:pt>
                <c:pt idx="51">
                  <c:v>1.1000000000000001</c:v>
                </c:pt>
                <c:pt idx="52">
                  <c:v>1.2</c:v>
                </c:pt>
                <c:pt idx="53">
                  <c:v>1.3</c:v>
                </c:pt>
                <c:pt idx="54">
                  <c:v>1.4</c:v>
                </c:pt>
                <c:pt idx="55">
                  <c:v>1.5</c:v>
                </c:pt>
                <c:pt idx="56">
                  <c:v>1.6</c:v>
                </c:pt>
                <c:pt idx="57">
                  <c:v>1.8</c:v>
                </c:pt>
                <c:pt idx="58">
                  <c:v>2</c:v>
                </c:pt>
                <c:pt idx="59">
                  <c:v>2.2000000000000002</c:v>
                </c:pt>
                <c:pt idx="60">
                  <c:v>2.5</c:v>
                </c:pt>
                <c:pt idx="61">
                  <c:v>2.8</c:v>
                </c:pt>
                <c:pt idx="62">
                  <c:v>3</c:v>
                </c:pt>
                <c:pt idx="63">
                  <c:v>3.5</c:v>
                </c:pt>
                <c:pt idx="64">
                  <c:v>4</c:v>
                </c:pt>
                <c:pt idx="65">
                  <c:v>4.5</c:v>
                </c:pt>
                <c:pt idx="66">
                  <c:v>5</c:v>
                </c:pt>
              </c:numCache>
            </c:numRef>
          </c:xVal>
          <c:yVal>
            <c:numRef>
              <c:f>'2026-PSA-FLND'!$F$3:$F$69</c:f>
              <c:numCache>
                <c:formatCode>0.00%</c:formatCode>
                <c:ptCount val="67"/>
                <c:pt idx="0">
                  <c:v>0.27739999999999998</c:v>
                </c:pt>
                <c:pt idx="1">
                  <c:v>0.27839999999999998</c:v>
                </c:pt>
                <c:pt idx="2">
                  <c:v>0.28039999999999998</c:v>
                </c:pt>
                <c:pt idx="3">
                  <c:v>0.28349999999999997</c:v>
                </c:pt>
                <c:pt idx="4">
                  <c:v>0.28549999999999998</c:v>
                </c:pt>
                <c:pt idx="5">
                  <c:v>0.29060000000000002</c:v>
                </c:pt>
                <c:pt idx="6">
                  <c:v>0.29570000000000002</c:v>
                </c:pt>
                <c:pt idx="7">
                  <c:v>0.30790000000000001</c:v>
                </c:pt>
                <c:pt idx="8">
                  <c:v>0.31809999999999999</c:v>
                </c:pt>
                <c:pt idx="9">
                  <c:v>0.32629999999999998</c:v>
                </c:pt>
                <c:pt idx="10">
                  <c:v>0.33450000000000002</c:v>
                </c:pt>
                <c:pt idx="11">
                  <c:v>0.34670000000000001</c:v>
                </c:pt>
                <c:pt idx="12">
                  <c:v>0.33850000000000002</c:v>
                </c:pt>
                <c:pt idx="13">
                  <c:v>0.33850000000000002</c:v>
                </c:pt>
                <c:pt idx="14">
                  <c:v>0.3548</c:v>
                </c:pt>
                <c:pt idx="15">
                  <c:v>0.34870000000000001</c:v>
                </c:pt>
                <c:pt idx="16">
                  <c:v>0.3926</c:v>
                </c:pt>
                <c:pt idx="17">
                  <c:v>0.40279999999999999</c:v>
                </c:pt>
                <c:pt idx="18">
                  <c:v>0.34870000000000001</c:v>
                </c:pt>
                <c:pt idx="19">
                  <c:v>0.36909999999999998</c:v>
                </c:pt>
                <c:pt idx="20">
                  <c:v>0.36909999999999998</c:v>
                </c:pt>
                <c:pt idx="21">
                  <c:v>0.41299999999999998</c:v>
                </c:pt>
                <c:pt idx="22">
                  <c:v>0.42009999999999997</c:v>
                </c:pt>
                <c:pt idx="23">
                  <c:v>0.5323</c:v>
                </c:pt>
                <c:pt idx="24">
                  <c:v>0.50780000000000003</c:v>
                </c:pt>
                <c:pt idx="25">
                  <c:v>0.55059999999999998</c:v>
                </c:pt>
                <c:pt idx="26">
                  <c:v>0.50990000000000002</c:v>
                </c:pt>
                <c:pt idx="27">
                  <c:v>0.5353</c:v>
                </c:pt>
                <c:pt idx="28">
                  <c:v>0.50990000000000002</c:v>
                </c:pt>
                <c:pt idx="29">
                  <c:v>0.72909999999999997</c:v>
                </c:pt>
                <c:pt idx="30">
                  <c:v>0.55269999999999997</c:v>
                </c:pt>
                <c:pt idx="31">
                  <c:v>0.59960000000000002</c:v>
                </c:pt>
                <c:pt idx="32">
                  <c:v>0.51190000000000002</c:v>
                </c:pt>
                <c:pt idx="33">
                  <c:v>0.50170000000000003</c:v>
                </c:pt>
                <c:pt idx="34">
                  <c:v>0.82089999999999996</c:v>
                </c:pt>
                <c:pt idx="35">
                  <c:v>0.62</c:v>
                </c:pt>
                <c:pt idx="36">
                  <c:v>0.72599999999999998</c:v>
                </c:pt>
                <c:pt idx="37">
                  <c:v>0.5323</c:v>
                </c:pt>
                <c:pt idx="38">
                  <c:v>0.54549999999999998</c:v>
                </c:pt>
                <c:pt idx="39">
                  <c:v>0.6169</c:v>
                </c:pt>
                <c:pt idx="40">
                  <c:v>0.66279999999999994</c:v>
                </c:pt>
                <c:pt idx="41">
                  <c:v>0.69340000000000002</c:v>
                </c:pt>
                <c:pt idx="42">
                  <c:v>0.83620000000000005</c:v>
                </c:pt>
                <c:pt idx="43">
                  <c:v>1.0687</c:v>
                </c:pt>
                <c:pt idx="44">
                  <c:v>0.82599999999999996</c:v>
                </c:pt>
                <c:pt idx="45">
                  <c:v>0.40789999999999998</c:v>
                </c:pt>
                <c:pt idx="46">
                  <c:v>0.3569</c:v>
                </c:pt>
                <c:pt idx="47">
                  <c:v>0.40789999999999998</c:v>
                </c:pt>
                <c:pt idx="48">
                  <c:v>0.28549999999999998</c:v>
                </c:pt>
                <c:pt idx="49">
                  <c:v>0.27329999999999999</c:v>
                </c:pt>
                <c:pt idx="50">
                  <c:v>0.21920000000000001</c:v>
                </c:pt>
                <c:pt idx="51">
                  <c:v>0.14480000000000001</c:v>
                </c:pt>
                <c:pt idx="52">
                  <c:v>0.1479</c:v>
                </c:pt>
                <c:pt idx="53">
                  <c:v>0.1071</c:v>
                </c:pt>
                <c:pt idx="54">
                  <c:v>0.1173</c:v>
                </c:pt>
                <c:pt idx="55">
                  <c:v>8.1600000000000006E-2</c:v>
                </c:pt>
                <c:pt idx="56">
                  <c:v>6.93E-2</c:v>
                </c:pt>
                <c:pt idx="57">
                  <c:v>6.6299999999999998E-2</c:v>
                </c:pt>
                <c:pt idx="58">
                  <c:v>5.91E-2</c:v>
                </c:pt>
                <c:pt idx="59">
                  <c:v>4.8899999999999999E-2</c:v>
                </c:pt>
                <c:pt idx="60">
                  <c:v>4.5900000000000003E-2</c:v>
                </c:pt>
                <c:pt idx="61">
                  <c:v>2.5499999999999998E-2</c:v>
                </c:pt>
                <c:pt idx="62">
                  <c:v>1.84E-2</c:v>
                </c:pt>
                <c:pt idx="63">
                  <c:v>1.5299999999999999E-2</c:v>
                </c:pt>
                <c:pt idx="64">
                  <c:v>1.2200000000000001E-2</c:v>
                </c:pt>
                <c:pt idx="65">
                  <c:v>1.0200000000000001E-2</c:v>
                </c:pt>
                <c:pt idx="66">
                  <c:v>6.1000000000000004E-3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32-45D0-A108-FA951254E325}"/>
            </c:ext>
          </c:extLst>
        </c:ser>
        <c:ser>
          <c:idx val="3"/>
          <c:order val="2"/>
          <c:tx>
            <c:strRef>
              <c:f>'2026-PSA-FLND'!$G$2</c:f>
              <c:strCache>
                <c:ptCount val="1"/>
                <c:pt idx="0">
                  <c:v>Sismo2026-FLND - Vert (%g)</c:v>
                </c:pt>
              </c:strCache>
            </c:strRef>
          </c:tx>
          <c:spPr>
            <a:ln w="9525" cap="rnd">
              <a:solidFill>
                <a:srgbClr val="00B05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'2026-PSA-FLND'!$A$3:$A$69</c:f>
              <c:numCache>
                <c:formatCode>General</c:formatCode>
                <c:ptCount val="67"/>
                <c:pt idx="0">
                  <c:v>0.01</c:v>
                </c:pt>
                <c:pt idx="1">
                  <c:v>1.2E-2</c:v>
                </c:pt>
                <c:pt idx="2">
                  <c:v>1.4999999999999999E-2</c:v>
                </c:pt>
                <c:pt idx="3">
                  <c:v>1.7999999999999999E-2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0.115</c:v>
                </c:pt>
                <c:pt idx="23">
                  <c:v>0.125</c:v>
                </c:pt>
                <c:pt idx="24">
                  <c:v>0.13500000000000001</c:v>
                </c:pt>
                <c:pt idx="25">
                  <c:v>0.14499999999999999</c:v>
                </c:pt>
                <c:pt idx="26">
                  <c:v>0.155</c:v>
                </c:pt>
                <c:pt idx="27">
                  <c:v>0.16500000000000001</c:v>
                </c:pt>
                <c:pt idx="28">
                  <c:v>0.17499999999999999</c:v>
                </c:pt>
                <c:pt idx="29">
                  <c:v>0.19</c:v>
                </c:pt>
                <c:pt idx="30">
                  <c:v>0.215</c:v>
                </c:pt>
                <c:pt idx="31">
                  <c:v>0.23</c:v>
                </c:pt>
                <c:pt idx="32">
                  <c:v>0.25</c:v>
                </c:pt>
                <c:pt idx="33">
                  <c:v>0.26500000000000001</c:v>
                </c:pt>
                <c:pt idx="34">
                  <c:v>0.28999999999999998</c:v>
                </c:pt>
                <c:pt idx="35">
                  <c:v>0.31</c:v>
                </c:pt>
                <c:pt idx="36">
                  <c:v>0.34</c:v>
                </c:pt>
                <c:pt idx="37">
                  <c:v>0.38</c:v>
                </c:pt>
                <c:pt idx="38">
                  <c:v>0.4</c:v>
                </c:pt>
                <c:pt idx="39">
                  <c:v>0.42</c:v>
                </c:pt>
                <c:pt idx="40">
                  <c:v>0.46</c:v>
                </c:pt>
                <c:pt idx="41">
                  <c:v>0.48</c:v>
                </c:pt>
                <c:pt idx="42">
                  <c:v>0.52</c:v>
                </c:pt>
                <c:pt idx="43">
                  <c:v>0.56000000000000005</c:v>
                </c:pt>
                <c:pt idx="44">
                  <c:v>0.62</c:v>
                </c:pt>
                <c:pt idx="45">
                  <c:v>0.68</c:v>
                </c:pt>
                <c:pt idx="46">
                  <c:v>0.72</c:v>
                </c:pt>
                <c:pt idx="47">
                  <c:v>0.78</c:v>
                </c:pt>
                <c:pt idx="48">
                  <c:v>0.85</c:v>
                </c:pt>
                <c:pt idx="49">
                  <c:v>0.9</c:v>
                </c:pt>
                <c:pt idx="50">
                  <c:v>1</c:v>
                </c:pt>
                <c:pt idx="51">
                  <c:v>1.1000000000000001</c:v>
                </c:pt>
                <c:pt idx="52">
                  <c:v>1.2</c:v>
                </c:pt>
                <c:pt idx="53">
                  <c:v>1.3</c:v>
                </c:pt>
                <c:pt idx="54">
                  <c:v>1.4</c:v>
                </c:pt>
                <c:pt idx="55">
                  <c:v>1.5</c:v>
                </c:pt>
                <c:pt idx="56">
                  <c:v>1.6</c:v>
                </c:pt>
                <c:pt idx="57">
                  <c:v>1.8</c:v>
                </c:pt>
                <c:pt idx="58">
                  <c:v>2</c:v>
                </c:pt>
                <c:pt idx="59">
                  <c:v>2.2000000000000002</c:v>
                </c:pt>
                <c:pt idx="60">
                  <c:v>2.5</c:v>
                </c:pt>
                <c:pt idx="61">
                  <c:v>2.8</c:v>
                </c:pt>
                <c:pt idx="62">
                  <c:v>3</c:v>
                </c:pt>
                <c:pt idx="63">
                  <c:v>3.5</c:v>
                </c:pt>
                <c:pt idx="64">
                  <c:v>4</c:v>
                </c:pt>
                <c:pt idx="65">
                  <c:v>4.5</c:v>
                </c:pt>
                <c:pt idx="66">
                  <c:v>5</c:v>
                </c:pt>
              </c:numCache>
            </c:numRef>
          </c:xVal>
          <c:yVal>
            <c:numRef>
              <c:f>'2026-PSA-FLND'!$G$3:$G$69</c:f>
              <c:numCache>
                <c:formatCode>0.00%</c:formatCode>
                <c:ptCount val="67"/>
                <c:pt idx="0">
                  <c:v>0.1071</c:v>
                </c:pt>
                <c:pt idx="1">
                  <c:v>0.1101</c:v>
                </c:pt>
                <c:pt idx="2">
                  <c:v>0.1081</c:v>
                </c:pt>
                <c:pt idx="3">
                  <c:v>0.1203</c:v>
                </c:pt>
                <c:pt idx="4">
                  <c:v>0.13769999999999999</c:v>
                </c:pt>
                <c:pt idx="5">
                  <c:v>0.14480000000000001</c:v>
                </c:pt>
                <c:pt idx="6">
                  <c:v>0.12640000000000001</c:v>
                </c:pt>
                <c:pt idx="7">
                  <c:v>0.14069999999999999</c:v>
                </c:pt>
                <c:pt idx="8">
                  <c:v>0.1346</c:v>
                </c:pt>
                <c:pt idx="9">
                  <c:v>0.1305</c:v>
                </c:pt>
                <c:pt idx="10">
                  <c:v>0.1305</c:v>
                </c:pt>
                <c:pt idx="11">
                  <c:v>0.15809999999999999</c:v>
                </c:pt>
                <c:pt idx="12">
                  <c:v>0.17130000000000001</c:v>
                </c:pt>
                <c:pt idx="13">
                  <c:v>0.1958</c:v>
                </c:pt>
                <c:pt idx="14">
                  <c:v>0.2162</c:v>
                </c:pt>
                <c:pt idx="15">
                  <c:v>0.1958</c:v>
                </c:pt>
                <c:pt idx="16">
                  <c:v>0.2223</c:v>
                </c:pt>
                <c:pt idx="17">
                  <c:v>0.21210000000000001</c:v>
                </c:pt>
                <c:pt idx="18">
                  <c:v>0.1958</c:v>
                </c:pt>
                <c:pt idx="19">
                  <c:v>0.20599999999999999</c:v>
                </c:pt>
                <c:pt idx="20">
                  <c:v>0.1835</c:v>
                </c:pt>
                <c:pt idx="21">
                  <c:v>0.20599999999999999</c:v>
                </c:pt>
                <c:pt idx="22">
                  <c:v>0.22939999999999999</c:v>
                </c:pt>
                <c:pt idx="23">
                  <c:v>0.21210000000000001</c:v>
                </c:pt>
                <c:pt idx="24">
                  <c:v>0.21920000000000001</c:v>
                </c:pt>
                <c:pt idx="25">
                  <c:v>0.2427</c:v>
                </c:pt>
                <c:pt idx="26">
                  <c:v>0.28549999999999998</c:v>
                </c:pt>
                <c:pt idx="27">
                  <c:v>0.3039</c:v>
                </c:pt>
                <c:pt idx="28">
                  <c:v>0.30590000000000001</c:v>
                </c:pt>
                <c:pt idx="29">
                  <c:v>0.43640000000000001</c:v>
                </c:pt>
                <c:pt idx="30">
                  <c:v>0.33139999999999997</c:v>
                </c:pt>
                <c:pt idx="31">
                  <c:v>0.36709999999999998</c:v>
                </c:pt>
                <c:pt idx="32">
                  <c:v>0.32629999999999998</c:v>
                </c:pt>
                <c:pt idx="33">
                  <c:v>0.2702</c:v>
                </c:pt>
                <c:pt idx="34">
                  <c:v>0.33139999999999997</c:v>
                </c:pt>
                <c:pt idx="35">
                  <c:v>0.29570000000000002</c:v>
                </c:pt>
                <c:pt idx="36">
                  <c:v>0.27529999999999999</c:v>
                </c:pt>
                <c:pt idx="37">
                  <c:v>0.16819999999999999</c:v>
                </c:pt>
                <c:pt idx="38">
                  <c:v>0.13769999999999999</c:v>
                </c:pt>
                <c:pt idx="39">
                  <c:v>0.11219999999999999</c:v>
                </c:pt>
                <c:pt idx="40">
                  <c:v>0.10199999999999999</c:v>
                </c:pt>
                <c:pt idx="41">
                  <c:v>0.104</c:v>
                </c:pt>
                <c:pt idx="42">
                  <c:v>8.6699999999999999E-2</c:v>
                </c:pt>
                <c:pt idx="43">
                  <c:v>7.1400000000000005E-2</c:v>
                </c:pt>
                <c:pt idx="44">
                  <c:v>9.3799999999999994E-2</c:v>
                </c:pt>
                <c:pt idx="45">
                  <c:v>9.9900000000000003E-2</c:v>
                </c:pt>
                <c:pt idx="46">
                  <c:v>6.93E-2</c:v>
                </c:pt>
                <c:pt idx="47">
                  <c:v>6.7299999999999999E-2</c:v>
                </c:pt>
                <c:pt idx="48">
                  <c:v>6.93E-2</c:v>
                </c:pt>
                <c:pt idx="49">
                  <c:v>8.6699999999999999E-2</c:v>
                </c:pt>
                <c:pt idx="50">
                  <c:v>9.9900000000000003E-2</c:v>
                </c:pt>
                <c:pt idx="51">
                  <c:v>7.6499999999999999E-2</c:v>
                </c:pt>
                <c:pt idx="52">
                  <c:v>5.91E-2</c:v>
                </c:pt>
                <c:pt idx="53">
                  <c:v>6.6299999999999998E-2</c:v>
                </c:pt>
                <c:pt idx="54">
                  <c:v>4.5900000000000003E-2</c:v>
                </c:pt>
                <c:pt idx="55">
                  <c:v>3.8699999999999998E-2</c:v>
                </c:pt>
                <c:pt idx="56">
                  <c:v>3.5700000000000003E-2</c:v>
                </c:pt>
                <c:pt idx="57">
                  <c:v>3.0599999999999999E-2</c:v>
                </c:pt>
                <c:pt idx="58">
                  <c:v>2.24E-2</c:v>
                </c:pt>
                <c:pt idx="59">
                  <c:v>2.24E-2</c:v>
                </c:pt>
                <c:pt idx="60">
                  <c:v>1.84E-2</c:v>
                </c:pt>
                <c:pt idx="61">
                  <c:v>1.2200000000000001E-2</c:v>
                </c:pt>
                <c:pt idx="62">
                  <c:v>1.2200000000000001E-2</c:v>
                </c:pt>
                <c:pt idx="63">
                  <c:v>8.2000000000000007E-3</c:v>
                </c:pt>
                <c:pt idx="64">
                  <c:v>5.1000000000000004E-3</c:v>
                </c:pt>
                <c:pt idx="65">
                  <c:v>2E-3</c:v>
                </c:pt>
                <c:pt idx="66">
                  <c:v>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32-45D0-A108-FA951254E325}"/>
            </c:ext>
          </c:extLst>
        </c:ser>
        <c:ser>
          <c:idx val="4"/>
          <c:order val="3"/>
          <c:tx>
            <c:strRef>
              <c:f>ESPECTRO_NSR10!$N$28</c:f>
              <c:strCache>
                <c:ptCount val="1"/>
                <c:pt idx="0">
                  <c:v>Espec. NSR-10, Suelo D, Aa=0.25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ESPECTRO_NSR10!$A$13:$A$65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0.70153846153846156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ESPECTRO_NSR10!$B$13:$B$65</c:f>
              <c:numCache>
                <c:formatCode>0.0000</c:formatCode>
                <c:ptCount val="53"/>
                <c:pt idx="0">
                  <c:v>0.32499999999999996</c:v>
                </c:pt>
                <c:pt idx="1">
                  <c:v>0.81249999999999989</c:v>
                </c:pt>
                <c:pt idx="2">
                  <c:v>0.81249999999999989</c:v>
                </c:pt>
                <c:pt idx="3">
                  <c:v>0.71249999999999991</c:v>
                </c:pt>
                <c:pt idx="4">
                  <c:v>0.6333333333333333</c:v>
                </c:pt>
                <c:pt idx="5">
                  <c:v>0.56999999999999995</c:v>
                </c:pt>
                <c:pt idx="6">
                  <c:v>0.51818181818181808</c:v>
                </c:pt>
                <c:pt idx="7">
                  <c:v>0.47499999999999987</c:v>
                </c:pt>
                <c:pt idx="8">
                  <c:v>0.43846153846153835</c:v>
                </c:pt>
                <c:pt idx="9">
                  <c:v>0.40714285714285703</c:v>
                </c:pt>
                <c:pt idx="10">
                  <c:v>0.37999999999999984</c:v>
                </c:pt>
                <c:pt idx="11">
                  <c:v>0.35624999999999984</c:v>
                </c:pt>
                <c:pt idx="12">
                  <c:v>0.33529411764705869</c:v>
                </c:pt>
                <c:pt idx="13">
                  <c:v>0.31666666666666654</c:v>
                </c:pt>
                <c:pt idx="14">
                  <c:v>0.29999999999999982</c:v>
                </c:pt>
                <c:pt idx="15">
                  <c:v>0.28499999999999986</c:v>
                </c:pt>
                <c:pt idx="16">
                  <c:v>0.2714285714285713</c:v>
                </c:pt>
                <c:pt idx="17">
                  <c:v>0.25909090909090893</c:v>
                </c:pt>
                <c:pt idx="18">
                  <c:v>0.24782608695652159</c:v>
                </c:pt>
                <c:pt idx="19">
                  <c:v>0.23749999999999985</c:v>
                </c:pt>
                <c:pt idx="20">
                  <c:v>0.22799999999999987</c:v>
                </c:pt>
                <c:pt idx="21">
                  <c:v>0.21923076923076909</c:v>
                </c:pt>
                <c:pt idx="22">
                  <c:v>0.21111111111111097</c:v>
                </c:pt>
                <c:pt idx="23">
                  <c:v>0.20357142857142843</c:v>
                </c:pt>
                <c:pt idx="24">
                  <c:v>0.1965517241379309</c:v>
                </c:pt>
                <c:pt idx="25">
                  <c:v>0.18999999999999986</c:v>
                </c:pt>
                <c:pt idx="26">
                  <c:v>0.18387096774193537</c:v>
                </c:pt>
                <c:pt idx="27">
                  <c:v>0.17812499999999987</c:v>
                </c:pt>
                <c:pt idx="28">
                  <c:v>0.17272727272727262</c:v>
                </c:pt>
                <c:pt idx="29">
                  <c:v>0.16764705882352929</c:v>
                </c:pt>
                <c:pt idx="30">
                  <c:v>0.16285714285714273</c:v>
                </c:pt>
                <c:pt idx="31">
                  <c:v>0.15833333333333321</c:v>
                </c:pt>
                <c:pt idx="32">
                  <c:v>0.15405405405405395</c:v>
                </c:pt>
                <c:pt idx="33">
                  <c:v>0.14999999999999988</c:v>
                </c:pt>
                <c:pt idx="34">
                  <c:v>0.14615384615384605</c:v>
                </c:pt>
                <c:pt idx="35">
                  <c:v>0.1424999999999999</c:v>
                </c:pt>
                <c:pt idx="36">
                  <c:v>0.13902439024390234</c:v>
                </c:pt>
                <c:pt idx="37">
                  <c:v>0.13571428571428565</c:v>
                </c:pt>
                <c:pt idx="38">
                  <c:v>0.13255813953488366</c:v>
                </c:pt>
                <c:pt idx="39">
                  <c:v>0.12954545454545449</c:v>
                </c:pt>
                <c:pt idx="40">
                  <c:v>0.12666666666666662</c:v>
                </c:pt>
                <c:pt idx="41">
                  <c:v>0.12283553875236292</c:v>
                </c:pt>
                <c:pt idx="42">
                  <c:v>0.1176641014033499</c:v>
                </c:pt>
                <c:pt idx="43">
                  <c:v>0.1128125</c:v>
                </c:pt>
                <c:pt idx="44">
                  <c:v>0.1082548937942524</c:v>
                </c:pt>
                <c:pt idx="45">
                  <c:v>0.10396800000000002</c:v>
                </c:pt>
                <c:pt idx="46">
                  <c:v>9.99307958477509E-2</c:v>
                </c:pt>
                <c:pt idx="47">
                  <c:v>9.6124260355029634E-2</c:v>
                </c:pt>
                <c:pt idx="48">
                  <c:v>9.2531149875400565E-2</c:v>
                </c:pt>
                <c:pt idx="49">
                  <c:v>8.9135802469135869E-2</c:v>
                </c:pt>
                <c:pt idx="50">
                  <c:v>8.5923966942148836E-2</c:v>
                </c:pt>
                <c:pt idx="51">
                  <c:v>8.2882653061224568E-2</c:v>
                </c:pt>
                <c:pt idx="52">
                  <c:v>8.0000000000000085E-2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132-45D0-A108-FA951254E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5136"/>
        <c:axId val="378706312"/>
      </c:scatterChart>
      <c:valAx>
        <c:axId val="378705136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6312"/>
        <c:crosses val="autoZero"/>
        <c:crossBetween val="midCat"/>
      </c:valAx>
      <c:valAx>
        <c:axId val="37870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366" r="0.75000000000000366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Espectro de respuesta</a:t>
            </a:r>
            <a:r>
              <a:rPr lang="es-ES" baseline="0"/>
              <a:t> elástica, seuda-aceleración PSA 5%.</a:t>
            </a:r>
            <a:br>
              <a:rPr lang="es-ES" baseline="0"/>
            </a:br>
            <a:r>
              <a:rPr lang="es-ES" baseline="0"/>
              <a:t>Pereira, Risaralda. Zona 3 (Depósitos Fluvio-lacustres)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Micro_Pereira!$K$16</c:f>
              <c:strCache>
                <c:ptCount val="1"/>
                <c:pt idx="0">
                  <c:v>Espec. Pereira, Zona 3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dash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Micro_Pereira!$A$14:$A$49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1.2000000000000002</c:v>
                </c:pt>
                <c:pt idx="7">
                  <c:v>1.3000000000000003</c:v>
                </c:pt>
                <c:pt idx="8">
                  <c:v>1.4000000000000004</c:v>
                </c:pt>
                <c:pt idx="9">
                  <c:v>1.5000000000000004</c:v>
                </c:pt>
                <c:pt idx="10">
                  <c:v>1.6000000000000005</c:v>
                </c:pt>
                <c:pt idx="11">
                  <c:v>1.7000000000000006</c:v>
                </c:pt>
                <c:pt idx="12">
                  <c:v>1.8000000000000007</c:v>
                </c:pt>
                <c:pt idx="13">
                  <c:v>1.9000000000000008</c:v>
                </c:pt>
                <c:pt idx="14">
                  <c:v>2.0000000000000009</c:v>
                </c:pt>
                <c:pt idx="15">
                  <c:v>2.100000000000001</c:v>
                </c:pt>
                <c:pt idx="16">
                  <c:v>2.2000000000000011</c:v>
                </c:pt>
                <c:pt idx="17">
                  <c:v>2.3000000000000012</c:v>
                </c:pt>
                <c:pt idx="18">
                  <c:v>2.4000000000000012</c:v>
                </c:pt>
                <c:pt idx="19">
                  <c:v>2.5000000000000013</c:v>
                </c:pt>
                <c:pt idx="20">
                  <c:v>2.6000000000000014</c:v>
                </c:pt>
                <c:pt idx="21">
                  <c:v>2.7000000000000015</c:v>
                </c:pt>
                <c:pt idx="22">
                  <c:v>2.8000000000000016</c:v>
                </c:pt>
                <c:pt idx="23">
                  <c:v>2.9000000000000017</c:v>
                </c:pt>
                <c:pt idx="24">
                  <c:v>3.0000000000000018</c:v>
                </c:pt>
                <c:pt idx="25">
                  <c:v>3.1000000000000019</c:v>
                </c:pt>
                <c:pt idx="26">
                  <c:v>3.200000000000002</c:v>
                </c:pt>
                <c:pt idx="27">
                  <c:v>3.300000000000002</c:v>
                </c:pt>
                <c:pt idx="28">
                  <c:v>3.4000000000000021</c:v>
                </c:pt>
                <c:pt idx="29">
                  <c:v>3.5000000000000022</c:v>
                </c:pt>
                <c:pt idx="30">
                  <c:v>3.6000000000000023</c:v>
                </c:pt>
                <c:pt idx="31">
                  <c:v>3.7000000000000024</c:v>
                </c:pt>
                <c:pt idx="32">
                  <c:v>3.8000000000000025</c:v>
                </c:pt>
                <c:pt idx="33">
                  <c:v>3.9000000000000026</c:v>
                </c:pt>
                <c:pt idx="34">
                  <c:v>4.0000000000000027</c:v>
                </c:pt>
                <c:pt idx="35">
                  <c:v>4.1000000000000023</c:v>
                </c:pt>
              </c:numCache>
            </c:numRef>
          </c:xVal>
          <c:yVal>
            <c:numRef>
              <c:f>Micro_Pereira!$B$14:$B$49</c:f>
              <c:numCache>
                <c:formatCode>General</c:formatCode>
                <c:ptCount val="36"/>
                <c:pt idx="0">
                  <c:v>0.36</c:v>
                </c:pt>
                <c:pt idx="1">
                  <c:v>0.89999999999999991</c:v>
                </c:pt>
                <c:pt idx="2">
                  <c:v>0.89999999999999991</c:v>
                </c:pt>
                <c:pt idx="3">
                  <c:v>0.79999999999999993</c:v>
                </c:pt>
                <c:pt idx="4">
                  <c:v>0.72</c:v>
                </c:pt>
                <c:pt idx="5">
                  <c:v>0.65454545454545443</c:v>
                </c:pt>
                <c:pt idx="6">
                  <c:v>0.59999999999999987</c:v>
                </c:pt>
                <c:pt idx="7">
                  <c:v>0.55384615384615377</c:v>
                </c:pt>
                <c:pt idx="8">
                  <c:v>0.51428571428571412</c:v>
                </c:pt>
                <c:pt idx="9">
                  <c:v>0.47999999999999982</c:v>
                </c:pt>
                <c:pt idx="10">
                  <c:v>0.44999999999999984</c:v>
                </c:pt>
                <c:pt idx="11">
                  <c:v>0.42352941176470571</c:v>
                </c:pt>
                <c:pt idx="12">
                  <c:v>0.3999999999999998</c:v>
                </c:pt>
                <c:pt idx="13">
                  <c:v>0.37894736842105248</c:v>
                </c:pt>
                <c:pt idx="14">
                  <c:v>0.35999999999999982</c:v>
                </c:pt>
                <c:pt idx="15">
                  <c:v>0.34285714285714269</c:v>
                </c:pt>
                <c:pt idx="16">
                  <c:v>0.3272727272727271</c:v>
                </c:pt>
                <c:pt idx="17">
                  <c:v>0.31304347826086942</c:v>
                </c:pt>
                <c:pt idx="18">
                  <c:v>0.29999999999999982</c:v>
                </c:pt>
                <c:pt idx="19">
                  <c:v>0.28799999999999981</c:v>
                </c:pt>
                <c:pt idx="20">
                  <c:v>0.27692307692307677</c:v>
                </c:pt>
                <c:pt idx="21">
                  <c:v>0.2666666666666665</c:v>
                </c:pt>
                <c:pt idx="22">
                  <c:v>0.25714285714285701</c:v>
                </c:pt>
                <c:pt idx="23">
                  <c:v>0.24827586206896538</c:v>
                </c:pt>
                <c:pt idx="24">
                  <c:v>0.23999999999999985</c:v>
                </c:pt>
                <c:pt idx="25">
                  <c:v>0.23225806451612888</c:v>
                </c:pt>
                <c:pt idx="26">
                  <c:v>0.22499999999999987</c:v>
                </c:pt>
                <c:pt idx="27">
                  <c:v>0.21818181818181803</c:v>
                </c:pt>
                <c:pt idx="28">
                  <c:v>0.2117647058823528</c:v>
                </c:pt>
                <c:pt idx="29">
                  <c:v>0.20571428571428557</c:v>
                </c:pt>
                <c:pt idx="30">
                  <c:v>0.19999999999999987</c:v>
                </c:pt>
                <c:pt idx="31">
                  <c:v>0.19459459459459447</c:v>
                </c:pt>
                <c:pt idx="32">
                  <c:v>0.18947368421052618</c:v>
                </c:pt>
                <c:pt idx="33">
                  <c:v>0.18461538461538449</c:v>
                </c:pt>
                <c:pt idx="34">
                  <c:v>0.18</c:v>
                </c:pt>
                <c:pt idx="35">
                  <c:v>0.18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FC-4C77-AEA4-95F92A4B1F04}"/>
            </c:ext>
          </c:extLst>
        </c:ser>
        <c:ser>
          <c:idx val="1"/>
          <c:order val="1"/>
          <c:tx>
            <c:strRef>
              <c:f>'2026-PSA-PEREIRA'!$E$2</c:f>
              <c:strCache>
                <c:ptCount val="1"/>
                <c:pt idx="0">
                  <c:v>Sismo2026-CIRS - EW (%g)</c:v>
                </c:pt>
              </c:strCache>
            </c:strRef>
          </c:tx>
          <c:spPr>
            <a:ln w="9525" cap="rnd">
              <a:solidFill>
                <a:srgbClr val="FF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'2026-PSA-PEREIRA'!$A$3:$A$81</c:f>
              <c:numCache>
                <c:formatCode>General</c:formatCode>
                <c:ptCount val="7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6.5000000000000002E-2</c:v>
                </c:pt>
                <c:pt idx="17">
                  <c:v>7.0000000000000007E-2</c:v>
                </c:pt>
                <c:pt idx="18">
                  <c:v>7.4999999999999997E-2</c:v>
                </c:pt>
                <c:pt idx="19">
                  <c:v>0.08</c:v>
                </c:pt>
                <c:pt idx="20">
                  <c:v>8.5000000000000006E-2</c:v>
                </c:pt>
                <c:pt idx="21">
                  <c:v>0.09</c:v>
                </c:pt>
                <c:pt idx="22">
                  <c:v>9.5000000000000001E-2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0.13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0.17</c:v>
                </c:pt>
                <c:pt idx="31">
                  <c:v>0.18</c:v>
                </c:pt>
                <c:pt idx="32">
                  <c:v>0.19</c:v>
                </c:pt>
                <c:pt idx="33">
                  <c:v>0.2</c:v>
                </c:pt>
                <c:pt idx="34">
                  <c:v>0.22</c:v>
                </c:pt>
                <c:pt idx="35">
                  <c:v>0.24</c:v>
                </c:pt>
                <c:pt idx="36">
                  <c:v>0.25</c:v>
                </c:pt>
                <c:pt idx="37">
                  <c:v>0.26</c:v>
                </c:pt>
                <c:pt idx="38">
                  <c:v>0.27</c:v>
                </c:pt>
                <c:pt idx="39">
                  <c:v>0.28000000000000003</c:v>
                </c:pt>
                <c:pt idx="40">
                  <c:v>0.28999999999999998</c:v>
                </c:pt>
                <c:pt idx="41">
                  <c:v>0.31</c:v>
                </c:pt>
                <c:pt idx="42">
                  <c:v>0.33</c:v>
                </c:pt>
                <c:pt idx="43">
                  <c:v>0.35</c:v>
                </c:pt>
                <c:pt idx="44">
                  <c:v>0.38</c:v>
                </c:pt>
                <c:pt idx="45">
                  <c:v>0.4</c:v>
                </c:pt>
                <c:pt idx="46">
                  <c:v>0.42</c:v>
                </c:pt>
                <c:pt idx="47">
                  <c:v>0.44</c:v>
                </c:pt>
                <c:pt idx="48">
                  <c:v>0.46</c:v>
                </c:pt>
                <c:pt idx="49">
                  <c:v>0.5</c:v>
                </c:pt>
                <c:pt idx="50">
                  <c:v>0.52</c:v>
                </c:pt>
                <c:pt idx="51">
                  <c:v>0.54</c:v>
                </c:pt>
                <c:pt idx="52">
                  <c:v>0.56000000000000005</c:v>
                </c:pt>
                <c:pt idx="53">
                  <c:v>0.57999999999999996</c:v>
                </c:pt>
                <c:pt idx="54">
                  <c:v>0.6</c:v>
                </c:pt>
                <c:pt idx="55">
                  <c:v>0.65</c:v>
                </c:pt>
                <c:pt idx="56">
                  <c:v>0.7</c:v>
                </c:pt>
                <c:pt idx="57">
                  <c:v>0.75</c:v>
                </c:pt>
                <c:pt idx="58">
                  <c:v>0.8</c:v>
                </c:pt>
                <c:pt idx="59">
                  <c:v>0.85</c:v>
                </c:pt>
                <c:pt idx="60">
                  <c:v>0.9</c:v>
                </c:pt>
                <c:pt idx="61">
                  <c:v>0.95</c:v>
                </c:pt>
                <c:pt idx="62">
                  <c:v>1</c:v>
                </c:pt>
                <c:pt idx="63">
                  <c:v>1.1000000000000001</c:v>
                </c:pt>
                <c:pt idx="64">
                  <c:v>1.2</c:v>
                </c:pt>
                <c:pt idx="65">
                  <c:v>1.3</c:v>
                </c:pt>
                <c:pt idx="66">
                  <c:v>1.4</c:v>
                </c:pt>
                <c:pt idx="67">
                  <c:v>1.5</c:v>
                </c:pt>
                <c:pt idx="68">
                  <c:v>1.6</c:v>
                </c:pt>
                <c:pt idx="69">
                  <c:v>1.8</c:v>
                </c:pt>
                <c:pt idx="70">
                  <c:v>2</c:v>
                </c:pt>
                <c:pt idx="71">
                  <c:v>2.2000000000000002</c:v>
                </c:pt>
                <c:pt idx="72">
                  <c:v>2.5</c:v>
                </c:pt>
                <c:pt idx="73">
                  <c:v>2.8</c:v>
                </c:pt>
                <c:pt idx="74">
                  <c:v>3</c:v>
                </c:pt>
                <c:pt idx="75">
                  <c:v>3.5</c:v>
                </c:pt>
                <c:pt idx="76">
                  <c:v>4</c:v>
                </c:pt>
                <c:pt idx="77">
                  <c:v>4.5</c:v>
                </c:pt>
                <c:pt idx="78">
                  <c:v>5</c:v>
                </c:pt>
              </c:numCache>
            </c:numRef>
          </c:xVal>
          <c:yVal>
            <c:numRef>
              <c:f>'2026-PSA-PEREIRA'!$E$3:$E$81</c:f>
              <c:numCache>
                <c:formatCode>0.00%</c:formatCode>
                <c:ptCount val="79"/>
                <c:pt idx="0">
                  <c:v>0.28349999999999997</c:v>
                </c:pt>
                <c:pt idx="1">
                  <c:v>0.28139999999999998</c:v>
                </c:pt>
                <c:pt idx="2">
                  <c:v>0.28249999999999997</c:v>
                </c:pt>
                <c:pt idx="3">
                  <c:v>0.28349999999999997</c:v>
                </c:pt>
                <c:pt idx="4">
                  <c:v>0.28249999999999997</c:v>
                </c:pt>
                <c:pt idx="5">
                  <c:v>0.28039999999999998</c:v>
                </c:pt>
                <c:pt idx="6">
                  <c:v>0.28549999999999998</c:v>
                </c:pt>
                <c:pt idx="7">
                  <c:v>0.28649999999999998</c:v>
                </c:pt>
                <c:pt idx="8">
                  <c:v>0.28649999999999998</c:v>
                </c:pt>
                <c:pt idx="9">
                  <c:v>0.28760000000000002</c:v>
                </c:pt>
                <c:pt idx="10">
                  <c:v>0.29370000000000002</c:v>
                </c:pt>
                <c:pt idx="11">
                  <c:v>0.29780000000000001</c:v>
                </c:pt>
                <c:pt idx="12">
                  <c:v>0.30080000000000001</c:v>
                </c:pt>
                <c:pt idx="13">
                  <c:v>0.30590000000000001</c:v>
                </c:pt>
                <c:pt idx="14">
                  <c:v>0.32119999999999999</c:v>
                </c:pt>
                <c:pt idx="15">
                  <c:v>0.32429999999999998</c:v>
                </c:pt>
                <c:pt idx="16">
                  <c:v>0.31809999999999999</c:v>
                </c:pt>
                <c:pt idx="17">
                  <c:v>0.34670000000000001</c:v>
                </c:pt>
                <c:pt idx="18">
                  <c:v>0.34470000000000001</c:v>
                </c:pt>
                <c:pt idx="19">
                  <c:v>0.34160000000000001</c:v>
                </c:pt>
                <c:pt idx="20">
                  <c:v>0.37219999999999998</c:v>
                </c:pt>
                <c:pt idx="21">
                  <c:v>0.38550000000000001</c:v>
                </c:pt>
                <c:pt idx="22">
                  <c:v>0.40279999999999999</c:v>
                </c:pt>
                <c:pt idx="23">
                  <c:v>0.41</c:v>
                </c:pt>
                <c:pt idx="24">
                  <c:v>0.42320000000000002</c:v>
                </c:pt>
                <c:pt idx="25">
                  <c:v>0.49969999999999998</c:v>
                </c:pt>
                <c:pt idx="26">
                  <c:v>0.5282</c:v>
                </c:pt>
                <c:pt idx="27">
                  <c:v>0.45889999999999997</c:v>
                </c:pt>
                <c:pt idx="28">
                  <c:v>0.50170000000000003</c:v>
                </c:pt>
                <c:pt idx="29">
                  <c:v>0.46910000000000002</c:v>
                </c:pt>
                <c:pt idx="30">
                  <c:v>0.48949999999999999</c:v>
                </c:pt>
                <c:pt idx="31">
                  <c:v>0.46700000000000003</c:v>
                </c:pt>
                <c:pt idx="32">
                  <c:v>0.51190000000000002</c:v>
                </c:pt>
                <c:pt idx="33">
                  <c:v>0.54549999999999998</c:v>
                </c:pt>
                <c:pt idx="34">
                  <c:v>0.60370000000000001</c:v>
                </c:pt>
                <c:pt idx="35">
                  <c:v>0.60160000000000002</c:v>
                </c:pt>
                <c:pt idx="36">
                  <c:v>0.63219999999999998</c:v>
                </c:pt>
                <c:pt idx="37">
                  <c:v>0.63429999999999997</c:v>
                </c:pt>
                <c:pt idx="38">
                  <c:v>0.6169</c:v>
                </c:pt>
                <c:pt idx="39">
                  <c:v>0.58330000000000004</c:v>
                </c:pt>
                <c:pt idx="40">
                  <c:v>0.6169</c:v>
                </c:pt>
                <c:pt idx="41">
                  <c:v>0.59140000000000004</c:v>
                </c:pt>
                <c:pt idx="42">
                  <c:v>0.55059999999999998</c:v>
                </c:pt>
                <c:pt idx="43">
                  <c:v>0.62409999999999999</c:v>
                </c:pt>
                <c:pt idx="44">
                  <c:v>0.78010000000000002</c:v>
                </c:pt>
                <c:pt idx="45">
                  <c:v>0.85860000000000003</c:v>
                </c:pt>
                <c:pt idx="46">
                  <c:v>0.90959999999999996</c:v>
                </c:pt>
                <c:pt idx="47">
                  <c:v>0.82089999999999996</c:v>
                </c:pt>
                <c:pt idx="48">
                  <c:v>0.86680000000000001</c:v>
                </c:pt>
                <c:pt idx="49">
                  <c:v>1.1216999999999999</c:v>
                </c:pt>
                <c:pt idx="50">
                  <c:v>1.4378</c:v>
                </c:pt>
                <c:pt idx="51">
                  <c:v>1.5092000000000001</c:v>
                </c:pt>
                <c:pt idx="52">
                  <c:v>1.657</c:v>
                </c:pt>
                <c:pt idx="53">
                  <c:v>1.3868</c:v>
                </c:pt>
                <c:pt idx="54">
                  <c:v>1.5092000000000001</c:v>
                </c:pt>
                <c:pt idx="55">
                  <c:v>1.1420999999999999</c:v>
                </c:pt>
                <c:pt idx="56">
                  <c:v>0.69340000000000002</c:v>
                </c:pt>
                <c:pt idx="57">
                  <c:v>0.57099999999999995</c:v>
                </c:pt>
                <c:pt idx="58">
                  <c:v>0.45889999999999997</c:v>
                </c:pt>
                <c:pt idx="59">
                  <c:v>0.31809999999999999</c:v>
                </c:pt>
                <c:pt idx="60">
                  <c:v>0.22939999999999999</c:v>
                </c:pt>
                <c:pt idx="61">
                  <c:v>0.18149999999999999</c:v>
                </c:pt>
                <c:pt idx="62">
                  <c:v>0.14480000000000001</c:v>
                </c:pt>
                <c:pt idx="63">
                  <c:v>0.1173</c:v>
                </c:pt>
                <c:pt idx="64">
                  <c:v>0.1101</c:v>
                </c:pt>
                <c:pt idx="65">
                  <c:v>0.11219999999999999</c:v>
                </c:pt>
                <c:pt idx="66">
                  <c:v>0.104</c:v>
                </c:pt>
                <c:pt idx="67">
                  <c:v>0.1101</c:v>
                </c:pt>
                <c:pt idx="68">
                  <c:v>8.1600000000000006E-2</c:v>
                </c:pt>
                <c:pt idx="69">
                  <c:v>5.6099999999999997E-2</c:v>
                </c:pt>
                <c:pt idx="70">
                  <c:v>5.6099999999999997E-2</c:v>
                </c:pt>
                <c:pt idx="71">
                  <c:v>4.8899999999999999E-2</c:v>
                </c:pt>
                <c:pt idx="72">
                  <c:v>3.2599999999999997E-2</c:v>
                </c:pt>
                <c:pt idx="73">
                  <c:v>2.5499999999999998E-2</c:v>
                </c:pt>
                <c:pt idx="74">
                  <c:v>2.6499999999999999E-2</c:v>
                </c:pt>
                <c:pt idx="75">
                  <c:v>1.5299999999999999E-2</c:v>
                </c:pt>
                <c:pt idx="76">
                  <c:v>1.2200000000000001E-2</c:v>
                </c:pt>
                <c:pt idx="77">
                  <c:v>8.2000000000000007E-3</c:v>
                </c:pt>
                <c:pt idx="78">
                  <c:v>6.1000000000000004E-3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FC-4C77-AEA4-95F92A4B1F04}"/>
            </c:ext>
          </c:extLst>
        </c:ser>
        <c:ser>
          <c:idx val="2"/>
          <c:order val="2"/>
          <c:tx>
            <c:strRef>
              <c:f>'2026-PSA-PEREIRA'!$F$2</c:f>
              <c:strCache>
                <c:ptCount val="1"/>
                <c:pt idx="0">
                  <c:v>Sismo2026-CIRS - NS (%g)</c:v>
                </c:pt>
              </c:strCache>
            </c:strRef>
          </c:tx>
          <c:spPr>
            <a:ln w="9525" cap="rnd">
              <a:solidFill>
                <a:srgbClr val="00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'2026-PSA-PEREIRA'!$A$3:$A$81</c:f>
              <c:numCache>
                <c:formatCode>General</c:formatCode>
                <c:ptCount val="7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6.5000000000000002E-2</c:v>
                </c:pt>
                <c:pt idx="17">
                  <c:v>7.0000000000000007E-2</c:v>
                </c:pt>
                <c:pt idx="18">
                  <c:v>7.4999999999999997E-2</c:v>
                </c:pt>
                <c:pt idx="19">
                  <c:v>0.08</c:v>
                </c:pt>
                <c:pt idx="20">
                  <c:v>8.5000000000000006E-2</c:v>
                </c:pt>
                <c:pt idx="21">
                  <c:v>0.09</c:v>
                </c:pt>
                <c:pt idx="22">
                  <c:v>9.5000000000000001E-2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0.13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0.17</c:v>
                </c:pt>
                <c:pt idx="31">
                  <c:v>0.18</c:v>
                </c:pt>
                <c:pt idx="32">
                  <c:v>0.19</c:v>
                </c:pt>
                <c:pt idx="33">
                  <c:v>0.2</c:v>
                </c:pt>
                <c:pt idx="34">
                  <c:v>0.22</c:v>
                </c:pt>
                <c:pt idx="35">
                  <c:v>0.24</c:v>
                </c:pt>
                <c:pt idx="36">
                  <c:v>0.25</c:v>
                </c:pt>
                <c:pt idx="37">
                  <c:v>0.26</c:v>
                </c:pt>
                <c:pt idx="38">
                  <c:v>0.27</c:v>
                </c:pt>
                <c:pt idx="39">
                  <c:v>0.28000000000000003</c:v>
                </c:pt>
                <c:pt idx="40">
                  <c:v>0.28999999999999998</c:v>
                </c:pt>
                <c:pt idx="41">
                  <c:v>0.31</c:v>
                </c:pt>
                <c:pt idx="42">
                  <c:v>0.33</c:v>
                </c:pt>
                <c:pt idx="43">
                  <c:v>0.35</c:v>
                </c:pt>
                <c:pt idx="44">
                  <c:v>0.38</c:v>
                </c:pt>
                <c:pt idx="45">
                  <c:v>0.4</c:v>
                </c:pt>
                <c:pt idx="46">
                  <c:v>0.42</c:v>
                </c:pt>
                <c:pt idx="47">
                  <c:v>0.44</c:v>
                </c:pt>
                <c:pt idx="48">
                  <c:v>0.46</c:v>
                </c:pt>
                <c:pt idx="49">
                  <c:v>0.5</c:v>
                </c:pt>
                <c:pt idx="50">
                  <c:v>0.52</c:v>
                </c:pt>
                <c:pt idx="51">
                  <c:v>0.54</c:v>
                </c:pt>
                <c:pt idx="52">
                  <c:v>0.56000000000000005</c:v>
                </c:pt>
                <c:pt idx="53">
                  <c:v>0.57999999999999996</c:v>
                </c:pt>
                <c:pt idx="54">
                  <c:v>0.6</c:v>
                </c:pt>
                <c:pt idx="55">
                  <c:v>0.65</c:v>
                </c:pt>
                <c:pt idx="56">
                  <c:v>0.7</c:v>
                </c:pt>
                <c:pt idx="57">
                  <c:v>0.75</c:v>
                </c:pt>
                <c:pt idx="58">
                  <c:v>0.8</c:v>
                </c:pt>
                <c:pt idx="59">
                  <c:v>0.85</c:v>
                </c:pt>
                <c:pt idx="60">
                  <c:v>0.9</c:v>
                </c:pt>
                <c:pt idx="61">
                  <c:v>0.95</c:v>
                </c:pt>
                <c:pt idx="62">
                  <c:v>1</c:v>
                </c:pt>
                <c:pt idx="63">
                  <c:v>1.1000000000000001</c:v>
                </c:pt>
                <c:pt idx="64">
                  <c:v>1.2</c:v>
                </c:pt>
                <c:pt idx="65">
                  <c:v>1.3</c:v>
                </c:pt>
                <c:pt idx="66">
                  <c:v>1.4</c:v>
                </c:pt>
                <c:pt idx="67">
                  <c:v>1.5</c:v>
                </c:pt>
                <c:pt idx="68">
                  <c:v>1.6</c:v>
                </c:pt>
                <c:pt idx="69">
                  <c:v>1.8</c:v>
                </c:pt>
                <c:pt idx="70">
                  <c:v>2</c:v>
                </c:pt>
                <c:pt idx="71">
                  <c:v>2.2000000000000002</c:v>
                </c:pt>
                <c:pt idx="72">
                  <c:v>2.5</c:v>
                </c:pt>
                <c:pt idx="73">
                  <c:v>2.8</c:v>
                </c:pt>
                <c:pt idx="74">
                  <c:v>3</c:v>
                </c:pt>
                <c:pt idx="75">
                  <c:v>3.5</c:v>
                </c:pt>
                <c:pt idx="76">
                  <c:v>4</c:v>
                </c:pt>
                <c:pt idx="77">
                  <c:v>4.5</c:v>
                </c:pt>
                <c:pt idx="78">
                  <c:v>5</c:v>
                </c:pt>
              </c:numCache>
            </c:numRef>
          </c:xVal>
          <c:yVal>
            <c:numRef>
              <c:f>'2026-PSA-PEREIRA'!$F$3:$F$81</c:f>
              <c:numCache>
                <c:formatCode>0.00%</c:formatCode>
                <c:ptCount val="79"/>
                <c:pt idx="0">
                  <c:v>0.3957</c:v>
                </c:pt>
                <c:pt idx="1">
                  <c:v>0.3967</c:v>
                </c:pt>
                <c:pt idx="2">
                  <c:v>0.3977</c:v>
                </c:pt>
                <c:pt idx="3">
                  <c:v>0.3997</c:v>
                </c:pt>
                <c:pt idx="4">
                  <c:v>0.3957</c:v>
                </c:pt>
                <c:pt idx="5">
                  <c:v>0.3967</c:v>
                </c:pt>
                <c:pt idx="6">
                  <c:v>0.3987</c:v>
                </c:pt>
                <c:pt idx="7">
                  <c:v>0.3977</c:v>
                </c:pt>
                <c:pt idx="8">
                  <c:v>0.3967</c:v>
                </c:pt>
                <c:pt idx="9">
                  <c:v>0.3957</c:v>
                </c:pt>
                <c:pt idx="10">
                  <c:v>0.40279999999999999</c:v>
                </c:pt>
                <c:pt idx="11">
                  <c:v>0.40579999999999999</c:v>
                </c:pt>
                <c:pt idx="12">
                  <c:v>0.41089999999999999</c:v>
                </c:pt>
                <c:pt idx="13">
                  <c:v>0.40989999999999999</c:v>
                </c:pt>
                <c:pt idx="14">
                  <c:v>0.40789999999999998</c:v>
                </c:pt>
                <c:pt idx="15">
                  <c:v>0.42009999999999997</c:v>
                </c:pt>
                <c:pt idx="16">
                  <c:v>0.4405</c:v>
                </c:pt>
                <c:pt idx="17">
                  <c:v>0.46700000000000003</c:v>
                </c:pt>
                <c:pt idx="18">
                  <c:v>0.46089999999999998</c:v>
                </c:pt>
                <c:pt idx="19">
                  <c:v>0.48130000000000001</c:v>
                </c:pt>
                <c:pt idx="20">
                  <c:v>0.46700000000000003</c:v>
                </c:pt>
                <c:pt idx="21">
                  <c:v>0.45889999999999997</c:v>
                </c:pt>
                <c:pt idx="22">
                  <c:v>0.47720000000000001</c:v>
                </c:pt>
                <c:pt idx="23">
                  <c:v>0.46089999999999998</c:v>
                </c:pt>
                <c:pt idx="24">
                  <c:v>0.45379999999999998</c:v>
                </c:pt>
                <c:pt idx="25">
                  <c:v>0.51800000000000002</c:v>
                </c:pt>
                <c:pt idx="26">
                  <c:v>0.56589999999999996</c:v>
                </c:pt>
                <c:pt idx="27">
                  <c:v>0.52210000000000001</c:v>
                </c:pt>
                <c:pt idx="28">
                  <c:v>0.5323</c:v>
                </c:pt>
                <c:pt idx="29">
                  <c:v>0.50170000000000003</c:v>
                </c:pt>
                <c:pt idx="30">
                  <c:v>0.60980000000000001</c:v>
                </c:pt>
                <c:pt idx="31">
                  <c:v>0.69540000000000002</c:v>
                </c:pt>
                <c:pt idx="32">
                  <c:v>0.76480000000000004</c:v>
                </c:pt>
                <c:pt idx="33">
                  <c:v>0.79330000000000001</c:v>
                </c:pt>
                <c:pt idx="34">
                  <c:v>0.72399999999999998</c:v>
                </c:pt>
                <c:pt idx="35">
                  <c:v>0.66279999999999994</c:v>
                </c:pt>
                <c:pt idx="36">
                  <c:v>0.73619999999999997</c:v>
                </c:pt>
                <c:pt idx="37">
                  <c:v>0.77500000000000002</c:v>
                </c:pt>
                <c:pt idx="38">
                  <c:v>0.75660000000000005</c:v>
                </c:pt>
                <c:pt idx="39">
                  <c:v>0.77290000000000003</c:v>
                </c:pt>
                <c:pt idx="40">
                  <c:v>0.73219999999999996</c:v>
                </c:pt>
                <c:pt idx="41">
                  <c:v>0.78010000000000002</c:v>
                </c:pt>
                <c:pt idx="42">
                  <c:v>0.84130000000000005</c:v>
                </c:pt>
                <c:pt idx="43">
                  <c:v>0.95340000000000003</c:v>
                </c:pt>
                <c:pt idx="44">
                  <c:v>0.89229999999999998</c:v>
                </c:pt>
                <c:pt idx="45">
                  <c:v>1.1727000000000001</c:v>
                </c:pt>
                <c:pt idx="46">
                  <c:v>1.3613</c:v>
                </c:pt>
                <c:pt idx="47">
                  <c:v>1.3051999999999999</c:v>
                </c:pt>
                <c:pt idx="48">
                  <c:v>1.3766</c:v>
                </c:pt>
                <c:pt idx="49">
                  <c:v>1.6518999999999999</c:v>
                </c:pt>
                <c:pt idx="50">
                  <c:v>1.8354999999999999</c:v>
                </c:pt>
                <c:pt idx="51">
                  <c:v>2.0343</c:v>
                </c:pt>
                <c:pt idx="52">
                  <c:v>1.9375</c:v>
                </c:pt>
                <c:pt idx="53">
                  <c:v>2.0394000000000001</c:v>
                </c:pt>
                <c:pt idx="54">
                  <c:v>1.968</c:v>
                </c:pt>
                <c:pt idx="55">
                  <c:v>1.3255999999999999</c:v>
                </c:pt>
                <c:pt idx="56">
                  <c:v>0.76480000000000004</c:v>
                </c:pt>
                <c:pt idx="57">
                  <c:v>0.5323</c:v>
                </c:pt>
                <c:pt idx="58">
                  <c:v>0.48949999999999999</c:v>
                </c:pt>
                <c:pt idx="59">
                  <c:v>0.3518</c:v>
                </c:pt>
                <c:pt idx="60">
                  <c:v>0.28549999999999998</c:v>
                </c:pt>
                <c:pt idx="61">
                  <c:v>0.23960000000000001</c:v>
                </c:pt>
                <c:pt idx="62">
                  <c:v>0.22939999999999999</c:v>
                </c:pt>
                <c:pt idx="63">
                  <c:v>0.2039</c:v>
                </c:pt>
                <c:pt idx="64">
                  <c:v>0.18859999999999999</c:v>
                </c:pt>
                <c:pt idx="65">
                  <c:v>0.12239999999999999</c:v>
                </c:pt>
                <c:pt idx="66">
                  <c:v>0.104</c:v>
                </c:pt>
                <c:pt idx="67">
                  <c:v>9.1800000000000007E-2</c:v>
                </c:pt>
                <c:pt idx="68">
                  <c:v>8.3599999999999994E-2</c:v>
                </c:pt>
                <c:pt idx="69">
                  <c:v>5.2999999999999999E-2</c:v>
                </c:pt>
                <c:pt idx="70">
                  <c:v>5.91E-2</c:v>
                </c:pt>
                <c:pt idx="71">
                  <c:v>5.0999999999999997E-2</c:v>
                </c:pt>
                <c:pt idx="72">
                  <c:v>2.86E-2</c:v>
                </c:pt>
                <c:pt idx="73">
                  <c:v>2.24E-2</c:v>
                </c:pt>
                <c:pt idx="74">
                  <c:v>2.0400000000000001E-2</c:v>
                </c:pt>
                <c:pt idx="75">
                  <c:v>1.6299999999999999E-2</c:v>
                </c:pt>
                <c:pt idx="76">
                  <c:v>1.2200000000000001E-2</c:v>
                </c:pt>
                <c:pt idx="77">
                  <c:v>1.0200000000000001E-2</c:v>
                </c:pt>
                <c:pt idx="78">
                  <c:v>8.2000000000000007E-3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FC-4C77-AEA4-95F92A4B1F04}"/>
            </c:ext>
          </c:extLst>
        </c:ser>
        <c:ser>
          <c:idx val="3"/>
          <c:order val="3"/>
          <c:tx>
            <c:strRef>
              <c:f>'2026-PSA-PEREIRA'!$G$2</c:f>
              <c:strCache>
                <c:ptCount val="1"/>
                <c:pt idx="0">
                  <c:v>Sismo2026-CIRS - Vert (%g)</c:v>
                </c:pt>
              </c:strCache>
            </c:strRef>
          </c:tx>
          <c:spPr>
            <a:ln w="9525" cap="rnd">
              <a:solidFill>
                <a:srgbClr val="00B05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'2026-PSA-PEREIRA'!$A$3:$A$81</c:f>
              <c:numCache>
                <c:formatCode>General</c:formatCode>
                <c:ptCount val="7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6.5000000000000002E-2</c:v>
                </c:pt>
                <c:pt idx="17">
                  <c:v>7.0000000000000007E-2</c:v>
                </c:pt>
                <c:pt idx="18">
                  <c:v>7.4999999999999997E-2</c:v>
                </c:pt>
                <c:pt idx="19">
                  <c:v>0.08</c:v>
                </c:pt>
                <c:pt idx="20">
                  <c:v>8.5000000000000006E-2</c:v>
                </c:pt>
                <c:pt idx="21">
                  <c:v>0.09</c:v>
                </c:pt>
                <c:pt idx="22">
                  <c:v>9.5000000000000001E-2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0.13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0.17</c:v>
                </c:pt>
                <c:pt idx="31">
                  <c:v>0.18</c:v>
                </c:pt>
                <c:pt idx="32">
                  <c:v>0.19</c:v>
                </c:pt>
                <c:pt idx="33">
                  <c:v>0.2</c:v>
                </c:pt>
                <c:pt idx="34">
                  <c:v>0.22</c:v>
                </c:pt>
                <c:pt idx="35">
                  <c:v>0.24</c:v>
                </c:pt>
                <c:pt idx="36">
                  <c:v>0.25</c:v>
                </c:pt>
                <c:pt idx="37">
                  <c:v>0.26</c:v>
                </c:pt>
                <c:pt idx="38">
                  <c:v>0.27</c:v>
                </c:pt>
                <c:pt idx="39">
                  <c:v>0.28000000000000003</c:v>
                </c:pt>
                <c:pt idx="40">
                  <c:v>0.28999999999999998</c:v>
                </c:pt>
                <c:pt idx="41">
                  <c:v>0.31</c:v>
                </c:pt>
                <c:pt idx="42">
                  <c:v>0.33</c:v>
                </c:pt>
                <c:pt idx="43">
                  <c:v>0.35</c:v>
                </c:pt>
                <c:pt idx="44">
                  <c:v>0.38</c:v>
                </c:pt>
                <c:pt idx="45">
                  <c:v>0.4</c:v>
                </c:pt>
                <c:pt idx="46">
                  <c:v>0.42</c:v>
                </c:pt>
                <c:pt idx="47">
                  <c:v>0.44</c:v>
                </c:pt>
                <c:pt idx="48">
                  <c:v>0.46</c:v>
                </c:pt>
                <c:pt idx="49">
                  <c:v>0.5</c:v>
                </c:pt>
                <c:pt idx="50">
                  <c:v>0.52</c:v>
                </c:pt>
                <c:pt idx="51">
                  <c:v>0.54</c:v>
                </c:pt>
                <c:pt idx="52">
                  <c:v>0.56000000000000005</c:v>
                </c:pt>
                <c:pt idx="53">
                  <c:v>0.57999999999999996</c:v>
                </c:pt>
                <c:pt idx="54">
                  <c:v>0.6</c:v>
                </c:pt>
                <c:pt idx="55">
                  <c:v>0.65</c:v>
                </c:pt>
                <c:pt idx="56">
                  <c:v>0.7</c:v>
                </c:pt>
                <c:pt idx="57">
                  <c:v>0.75</c:v>
                </c:pt>
                <c:pt idx="58">
                  <c:v>0.8</c:v>
                </c:pt>
                <c:pt idx="59">
                  <c:v>0.85</c:v>
                </c:pt>
                <c:pt idx="60">
                  <c:v>0.9</c:v>
                </c:pt>
                <c:pt idx="61">
                  <c:v>0.95</c:v>
                </c:pt>
                <c:pt idx="62">
                  <c:v>1</c:v>
                </c:pt>
                <c:pt idx="63">
                  <c:v>1.1000000000000001</c:v>
                </c:pt>
                <c:pt idx="64">
                  <c:v>1.2</c:v>
                </c:pt>
                <c:pt idx="65">
                  <c:v>1.3</c:v>
                </c:pt>
                <c:pt idx="66">
                  <c:v>1.4</c:v>
                </c:pt>
                <c:pt idx="67">
                  <c:v>1.5</c:v>
                </c:pt>
                <c:pt idx="68">
                  <c:v>1.6</c:v>
                </c:pt>
                <c:pt idx="69">
                  <c:v>1.8</c:v>
                </c:pt>
                <c:pt idx="70">
                  <c:v>2</c:v>
                </c:pt>
                <c:pt idx="71">
                  <c:v>2.2000000000000002</c:v>
                </c:pt>
                <c:pt idx="72">
                  <c:v>2.5</c:v>
                </c:pt>
                <c:pt idx="73">
                  <c:v>2.8</c:v>
                </c:pt>
                <c:pt idx="74">
                  <c:v>3</c:v>
                </c:pt>
                <c:pt idx="75">
                  <c:v>3.5</c:v>
                </c:pt>
                <c:pt idx="76">
                  <c:v>4</c:v>
                </c:pt>
                <c:pt idx="77">
                  <c:v>4.5</c:v>
                </c:pt>
                <c:pt idx="78">
                  <c:v>5</c:v>
                </c:pt>
              </c:numCache>
            </c:numRef>
          </c:xVal>
          <c:yVal>
            <c:numRef>
              <c:f>'2026-PSA-PEREIRA'!$G$3:$G$81</c:f>
              <c:numCache>
                <c:formatCode>0.00%</c:formatCode>
                <c:ptCount val="79"/>
                <c:pt idx="0">
                  <c:v>9.2799999999999994E-2</c:v>
                </c:pt>
                <c:pt idx="1">
                  <c:v>9.2799999999999994E-2</c:v>
                </c:pt>
                <c:pt idx="2">
                  <c:v>9.3799999999999994E-2</c:v>
                </c:pt>
                <c:pt idx="3">
                  <c:v>9.4799999999999995E-2</c:v>
                </c:pt>
                <c:pt idx="4">
                  <c:v>9.7900000000000001E-2</c:v>
                </c:pt>
                <c:pt idx="5">
                  <c:v>9.5899999999999999E-2</c:v>
                </c:pt>
                <c:pt idx="6">
                  <c:v>9.5899999999999999E-2</c:v>
                </c:pt>
                <c:pt idx="7">
                  <c:v>9.5899999999999999E-2</c:v>
                </c:pt>
                <c:pt idx="8">
                  <c:v>9.4799999999999995E-2</c:v>
                </c:pt>
                <c:pt idx="9">
                  <c:v>9.8900000000000002E-2</c:v>
                </c:pt>
                <c:pt idx="10">
                  <c:v>0.104</c:v>
                </c:pt>
                <c:pt idx="11">
                  <c:v>0.1162</c:v>
                </c:pt>
                <c:pt idx="12">
                  <c:v>0.1152</c:v>
                </c:pt>
                <c:pt idx="13">
                  <c:v>0.12239999999999999</c:v>
                </c:pt>
                <c:pt idx="14">
                  <c:v>0.1142</c:v>
                </c:pt>
                <c:pt idx="15">
                  <c:v>0.1101</c:v>
                </c:pt>
                <c:pt idx="16">
                  <c:v>0.1173</c:v>
                </c:pt>
                <c:pt idx="17">
                  <c:v>0.1142</c:v>
                </c:pt>
                <c:pt idx="18">
                  <c:v>0.1305</c:v>
                </c:pt>
                <c:pt idx="19">
                  <c:v>0.15809999999999999</c:v>
                </c:pt>
                <c:pt idx="20">
                  <c:v>0.21410000000000001</c:v>
                </c:pt>
                <c:pt idx="21">
                  <c:v>0.23960000000000001</c:v>
                </c:pt>
                <c:pt idx="22">
                  <c:v>0.2223</c:v>
                </c:pt>
                <c:pt idx="23">
                  <c:v>0.25290000000000001</c:v>
                </c:pt>
                <c:pt idx="24">
                  <c:v>0.2039</c:v>
                </c:pt>
                <c:pt idx="25">
                  <c:v>0.19370000000000001</c:v>
                </c:pt>
                <c:pt idx="26">
                  <c:v>0.25290000000000001</c:v>
                </c:pt>
                <c:pt idx="27">
                  <c:v>0.23449999999999999</c:v>
                </c:pt>
                <c:pt idx="28">
                  <c:v>0.1958</c:v>
                </c:pt>
                <c:pt idx="29">
                  <c:v>0.21920000000000001</c:v>
                </c:pt>
                <c:pt idx="30">
                  <c:v>0.23250000000000001</c:v>
                </c:pt>
                <c:pt idx="31">
                  <c:v>0.2702</c:v>
                </c:pt>
                <c:pt idx="32">
                  <c:v>0.28349999999999997</c:v>
                </c:pt>
                <c:pt idx="33">
                  <c:v>0.31409999999999999</c:v>
                </c:pt>
                <c:pt idx="34">
                  <c:v>0.28549999999999998</c:v>
                </c:pt>
                <c:pt idx="35">
                  <c:v>0.25490000000000002</c:v>
                </c:pt>
                <c:pt idx="36">
                  <c:v>0.31609999999999999</c:v>
                </c:pt>
                <c:pt idx="37">
                  <c:v>0.34670000000000001</c:v>
                </c:pt>
                <c:pt idx="38">
                  <c:v>0.34470000000000001</c:v>
                </c:pt>
                <c:pt idx="39">
                  <c:v>0.3977</c:v>
                </c:pt>
                <c:pt idx="40">
                  <c:v>0.42320000000000002</c:v>
                </c:pt>
                <c:pt idx="41">
                  <c:v>0.3977</c:v>
                </c:pt>
                <c:pt idx="42">
                  <c:v>0.34670000000000001</c:v>
                </c:pt>
                <c:pt idx="43">
                  <c:v>0.2651</c:v>
                </c:pt>
                <c:pt idx="44">
                  <c:v>0.22939999999999999</c:v>
                </c:pt>
                <c:pt idx="45">
                  <c:v>0.2019</c:v>
                </c:pt>
                <c:pt idx="46">
                  <c:v>0.1784</c:v>
                </c:pt>
                <c:pt idx="47">
                  <c:v>0.1784</c:v>
                </c:pt>
                <c:pt idx="48">
                  <c:v>0.1754</c:v>
                </c:pt>
                <c:pt idx="49">
                  <c:v>0.18149999999999999</c:v>
                </c:pt>
                <c:pt idx="50">
                  <c:v>0.16819999999999999</c:v>
                </c:pt>
                <c:pt idx="51">
                  <c:v>0.14069999999999999</c:v>
                </c:pt>
                <c:pt idx="52">
                  <c:v>0.1203</c:v>
                </c:pt>
                <c:pt idx="53">
                  <c:v>0.1346</c:v>
                </c:pt>
                <c:pt idx="54">
                  <c:v>0.1244</c:v>
                </c:pt>
                <c:pt idx="55">
                  <c:v>0.1101</c:v>
                </c:pt>
                <c:pt idx="56">
                  <c:v>0.13769999999999999</c:v>
                </c:pt>
                <c:pt idx="57">
                  <c:v>0.1275</c:v>
                </c:pt>
                <c:pt idx="58">
                  <c:v>8.6699999999999999E-2</c:v>
                </c:pt>
                <c:pt idx="59">
                  <c:v>6.3200000000000006E-2</c:v>
                </c:pt>
                <c:pt idx="60">
                  <c:v>6.4199999999999993E-2</c:v>
                </c:pt>
                <c:pt idx="61">
                  <c:v>6.1199999999999997E-2</c:v>
                </c:pt>
                <c:pt idx="62">
                  <c:v>4.2799999999999998E-2</c:v>
                </c:pt>
                <c:pt idx="63">
                  <c:v>3.8699999999999998E-2</c:v>
                </c:pt>
                <c:pt idx="64">
                  <c:v>4.0800000000000003E-2</c:v>
                </c:pt>
                <c:pt idx="65">
                  <c:v>3.2599999999999997E-2</c:v>
                </c:pt>
                <c:pt idx="66">
                  <c:v>3.0599999999999999E-2</c:v>
                </c:pt>
                <c:pt idx="67">
                  <c:v>2.86E-2</c:v>
                </c:pt>
                <c:pt idx="68">
                  <c:v>1.84E-2</c:v>
                </c:pt>
                <c:pt idx="69">
                  <c:v>2.0400000000000001E-2</c:v>
                </c:pt>
                <c:pt idx="70">
                  <c:v>2.1399999999999999E-2</c:v>
                </c:pt>
                <c:pt idx="71">
                  <c:v>1.5299999999999999E-2</c:v>
                </c:pt>
                <c:pt idx="72">
                  <c:v>8.2000000000000007E-3</c:v>
                </c:pt>
                <c:pt idx="73">
                  <c:v>6.1000000000000004E-3</c:v>
                </c:pt>
                <c:pt idx="74">
                  <c:v>5.1000000000000004E-3</c:v>
                </c:pt>
                <c:pt idx="75">
                  <c:v>4.1000000000000003E-3</c:v>
                </c:pt>
                <c:pt idx="76">
                  <c:v>3.0999999999999999E-3</c:v>
                </c:pt>
                <c:pt idx="77">
                  <c:v>2E-3</c:v>
                </c:pt>
                <c:pt idx="78">
                  <c:v>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1FC-4C77-AEA4-95F92A4B1F04}"/>
            </c:ext>
          </c:extLst>
        </c:ser>
        <c:ser>
          <c:idx val="4"/>
          <c:order val="4"/>
          <c:tx>
            <c:strRef>
              <c:f>ESPECTRO_NSR10!$N$28</c:f>
              <c:strCache>
                <c:ptCount val="1"/>
                <c:pt idx="0">
                  <c:v>Espec. NSR-10, Suelo D, Aa=0.25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ESPECTRO_NSR10!$A$13:$A$65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0.70153846153846156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ESPECTRO_NSR10!$B$13:$B$65</c:f>
              <c:numCache>
                <c:formatCode>0.0000</c:formatCode>
                <c:ptCount val="53"/>
                <c:pt idx="0">
                  <c:v>0.32499999999999996</c:v>
                </c:pt>
                <c:pt idx="1">
                  <c:v>0.81249999999999989</c:v>
                </c:pt>
                <c:pt idx="2">
                  <c:v>0.81249999999999989</c:v>
                </c:pt>
                <c:pt idx="3">
                  <c:v>0.71249999999999991</c:v>
                </c:pt>
                <c:pt idx="4">
                  <c:v>0.6333333333333333</c:v>
                </c:pt>
                <c:pt idx="5">
                  <c:v>0.56999999999999995</c:v>
                </c:pt>
                <c:pt idx="6">
                  <c:v>0.51818181818181808</c:v>
                </c:pt>
                <c:pt idx="7">
                  <c:v>0.47499999999999987</c:v>
                </c:pt>
                <c:pt idx="8">
                  <c:v>0.43846153846153835</c:v>
                </c:pt>
                <c:pt idx="9">
                  <c:v>0.40714285714285703</c:v>
                </c:pt>
                <c:pt idx="10">
                  <c:v>0.37999999999999984</c:v>
                </c:pt>
                <c:pt idx="11">
                  <c:v>0.35624999999999984</c:v>
                </c:pt>
                <c:pt idx="12">
                  <c:v>0.33529411764705869</c:v>
                </c:pt>
                <c:pt idx="13">
                  <c:v>0.31666666666666654</c:v>
                </c:pt>
                <c:pt idx="14">
                  <c:v>0.29999999999999982</c:v>
                </c:pt>
                <c:pt idx="15">
                  <c:v>0.28499999999999986</c:v>
                </c:pt>
                <c:pt idx="16">
                  <c:v>0.2714285714285713</c:v>
                </c:pt>
                <c:pt idx="17">
                  <c:v>0.25909090909090893</c:v>
                </c:pt>
                <c:pt idx="18">
                  <c:v>0.24782608695652159</c:v>
                </c:pt>
                <c:pt idx="19">
                  <c:v>0.23749999999999985</c:v>
                </c:pt>
                <c:pt idx="20">
                  <c:v>0.22799999999999987</c:v>
                </c:pt>
                <c:pt idx="21">
                  <c:v>0.21923076923076909</c:v>
                </c:pt>
                <c:pt idx="22">
                  <c:v>0.21111111111111097</c:v>
                </c:pt>
                <c:pt idx="23">
                  <c:v>0.20357142857142843</c:v>
                </c:pt>
                <c:pt idx="24">
                  <c:v>0.1965517241379309</c:v>
                </c:pt>
                <c:pt idx="25">
                  <c:v>0.18999999999999986</c:v>
                </c:pt>
                <c:pt idx="26">
                  <c:v>0.18387096774193537</c:v>
                </c:pt>
                <c:pt idx="27">
                  <c:v>0.17812499999999987</c:v>
                </c:pt>
                <c:pt idx="28">
                  <c:v>0.17272727272727262</c:v>
                </c:pt>
                <c:pt idx="29">
                  <c:v>0.16764705882352929</c:v>
                </c:pt>
                <c:pt idx="30">
                  <c:v>0.16285714285714273</c:v>
                </c:pt>
                <c:pt idx="31">
                  <c:v>0.15833333333333321</c:v>
                </c:pt>
                <c:pt idx="32">
                  <c:v>0.15405405405405395</c:v>
                </c:pt>
                <c:pt idx="33">
                  <c:v>0.14999999999999988</c:v>
                </c:pt>
                <c:pt idx="34">
                  <c:v>0.14615384615384605</c:v>
                </c:pt>
                <c:pt idx="35">
                  <c:v>0.1424999999999999</c:v>
                </c:pt>
                <c:pt idx="36">
                  <c:v>0.13902439024390234</c:v>
                </c:pt>
                <c:pt idx="37">
                  <c:v>0.13571428571428565</c:v>
                </c:pt>
                <c:pt idx="38">
                  <c:v>0.13255813953488366</c:v>
                </c:pt>
                <c:pt idx="39">
                  <c:v>0.12954545454545449</c:v>
                </c:pt>
                <c:pt idx="40">
                  <c:v>0.12666666666666662</c:v>
                </c:pt>
                <c:pt idx="41">
                  <c:v>0.12283553875236292</c:v>
                </c:pt>
                <c:pt idx="42">
                  <c:v>0.1176641014033499</c:v>
                </c:pt>
                <c:pt idx="43">
                  <c:v>0.1128125</c:v>
                </c:pt>
                <c:pt idx="44">
                  <c:v>0.1082548937942524</c:v>
                </c:pt>
                <c:pt idx="45">
                  <c:v>0.10396800000000002</c:v>
                </c:pt>
                <c:pt idx="46">
                  <c:v>9.99307958477509E-2</c:v>
                </c:pt>
                <c:pt idx="47">
                  <c:v>9.6124260355029634E-2</c:v>
                </c:pt>
                <c:pt idx="48">
                  <c:v>9.2531149875400565E-2</c:v>
                </c:pt>
                <c:pt idx="49">
                  <c:v>8.9135802469135869E-2</c:v>
                </c:pt>
                <c:pt idx="50">
                  <c:v>8.5923966942148836E-2</c:v>
                </c:pt>
                <c:pt idx="51">
                  <c:v>8.2882653061224568E-2</c:v>
                </c:pt>
                <c:pt idx="52">
                  <c:v>8.0000000000000085E-2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1FC-4C77-AEA4-95F92A4B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5136"/>
        <c:axId val="378706312"/>
      </c:scatterChart>
      <c:valAx>
        <c:axId val="378705136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6312"/>
        <c:crosses val="autoZero"/>
        <c:crossBetween val="midCat"/>
      </c:valAx>
      <c:valAx>
        <c:axId val="37870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366" r="0.75000000000000366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Espectro de respuesta</a:t>
            </a:r>
            <a:r>
              <a:rPr lang="es-ES" baseline="0"/>
              <a:t> elástica, seuda-aceleración PSA 5%.</a:t>
            </a:r>
            <a:br>
              <a:rPr lang="es-ES" baseline="0"/>
            </a:br>
            <a:r>
              <a:rPr lang="es-ES" baseline="0"/>
              <a:t>Manizales, Caldas. Zona A (Cenizas)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'2026-PSA-MAN1C'!$E$2</c:f>
              <c:strCache>
                <c:ptCount val="1"/>
                <c:pt idx="0">
                  <c:v>EW (%g)</c:v>
                </c:pt>
              </c:strCache>
            </c:strRef>
          </c:tx>
          <c:spPr>
            <a:ln w="9525" cap="rnd">
              <a:solidFill>
                <a:srgbClr val="FF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'2026-PSA-MAN1C'!$A$3:$A$71</c:f>
              <c:numCache>
                <c:formatCode>General</c:formatCode>
                <c:ptCount val="6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</c:v>
                </c:pt>
                <c:pt idx="20">
                  <c:v>0.11</c:v>
                </c:pt>
                <c:pt idx="21">
                  <c:v>0.12</c:v>
                </c:pt>
                <c:pt idx="22">
                  <c:v>0.13</c:v>
                </c:pt>
                <c:pt idx="23">
                  <c:v>0.14000000000000001</c:v>
                </c:pt>
                <c:pt idx="24">
                  <c:v>0.15</c:v>
                </c:pt>
                <c:pt idx="25">
                  <c:v>0.16</c:v>
                </c:pt>
                <c:pt idx="26">
                  <c:v>0.17</c:v>
                </c:pt>
                <c:pt idx="27">
                  <c:v>0.18</c:v>
                </c:pt>
                <c:pt idx="28">
                  <c:v>0.19</c:v>
                </c:pt>
                <c:pt idx="29">
                  <c:v>0.21</c:v>
                </c:pt>
                <c:pt idx="30">
                  <c:v>0.23</c:v>
                </c:pt>
                <c:pt idx="31">
                  <c:v>0.25</c:v>
                </c:pt>
                <c:pt idx="32">
                  <c:v>0.27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0.34</c:v>
                </c:pt>
                <c:pt idx="36">
                  <c:v>0.37</c:v>
                </c:pt>
                <c:pt idx="37">
                  <c:v>0.4</c:v>
                </c:pt>
                <c:pt idx="38">
                  <c:v>0.43</c:v>
                </c:pt>
                <c:pt idx="39">
                  <c:v>0.46</c:v>
                </c:pt>
                <c:pt idx="40">
                  <c:v>0.49</c:v>
                </c:pt>
                <c:pt idx="41">
                  <c:v>0.52</c:v>
                </c:pt>
                <c:pt idx="42">
                  <c:v>0.55000000000000004</c:v>
                </c:pt>
                <c:pt idx="43">
                  <c:v>0.57999999999999996</c:v>
                </c:pt>
                <c:pt idx="44">
                  <c:v>0.62</c:v>
                </c:pt>
                <c:pt idx="45">
                  <c:v>0.65</c:v>
                </c:pt>
                <c:pt idx="46">
                  <c:v>0.7</c:v>
                </c:pt>
                <c:pt idx="47">
                  <c:v>0.75</c:v>
                </c:pt>
                <c:pt idx="48">
                  <c:v>0.8</c:v>
                </c:pt>
                <c:pt idx="49">
                  <c:v>0.85</c:v>
                </c:pt>
                <c:pt idx="50">
                  <c:v>0.9</c:v>
                </c:pt>
                <c:pt idx="51">
                  <c:v>0.95</c:v>
                </c:pt>
                <c:pt idx="52">
                  <c:v>1</c:v>
                </c:pt>
                <c:pt idx="53">
                  <c:v>1.1000000000000001</c:v>
                </c:pt>
                <c:pt idx="54">
                  <c:v>1.2</c:v>
                </c:pt>
                <c:pt idx="55">
                  <c:v>1.3</c:v>
                </c:pt>
                <c:pt idx="56">
                  <c:v>1.4</c:v>
                </c:pt>
                <c:pt idx="57">
                  <c:v>1.5</c:v>
                </c:pt>
                <c:pt idx="58">
                  <c:v>1.6</c:v>
                </c:pt>
                <c:pt idx="59">
                  <c:v>1.8</c:v>
                </c:pt>
                <c:pt idx="60">
                  <c:v>2</c:v>
                </c:pt>
                <c:pt idx="61">
                  <c:v>2.2000000000000002</c:v>
                </c:pt>
                <c:pt idx="62">
                  <c:v>2.5</c:v>
                </c:pt>
                <c:pt idx="63">
                  <c:v>2.8</c:v>
                </c:pt>
                <c:pt idx="64">
                  <c:v>3</c:v>
                </c:pt>
                <c:pt idx="65">
                  <c:v>3.5</c:v>
                </c:pt>
                <c:pt idx="66">
                  <c:v>4</c:v>
                </c:pt>
                <c:pt idx="67">
                  <c:v>4.5</c:v>
                </c:pt>
                <c:pt idx="68">
                  <c:v>5</c:v>
                </c:pt>
              </c:numCache>
            </c:numRef>
          </c:xVal>
          <c:yVal>
            <c:numRef>
              <c:f>'2026-PSA-MAN1C'!$E$3:$E$71</c:f>
              <c:numCache>
                <c:formatCode>0.00%</c:formatCode>
                <c:ptCount val="69"/>
                <c:pt idx="0">
                  <c:v>0.33650000000000002</c:v>
                </c:pt>
                <c:pt idx="1">
                  <c:v>0.34670000000000001</c:v>
                </c:pt>
                <c:pt idx="2">
                  <c:v>0.3589</c:v>
                </c:pt>
                <c:pt idx="3">
                  <c:v>0.36509999999999998</c:v>
                </c:pt>
                <c:pt idx="4">
                  <c:v>0.4385</c:v>
                </c:pt>
                <c:pt idx="5">
                  <c:v>0.45069999999999999</c:v>
                </c:pt>
                <c:pt idx="6">
                  <c:v>0.4844</c:v>
                </c:pt>
                <c:pt idx="7">
                  <c:v>0.4405</c:v>
                </c:pt>
                <c:pt idx="8">
                  <c:v>0.46700000000000003</c:v>
                </c:pt>
                <c:pt idx="9">
                  <c:v>0.45069999999999999</c:v>
                </c:pt>
                <c:pt idx="10">
                  <c:v>0.37219999999999998</c:v>
                </c:pt>
                <c:pt idx="11">
                  <c:v>0.3548</c:v>
                </c:pt>
                <c:pt idx="12">
                  <c:v>0.32829999999999998</c:v>
                </c:pt>
                <c:pt idx="13">
                  <c:v>0.3039</c:v>
                </c:pt>
                <c:pt idx="14">
                  <c:v>0.28349999999999997</c:v>
                </c:pt>
                <c:pt idx="15">
                  <c:v>0.27529999999999999</c:v>
                </c:pt>
                <c:pt idx="16">
                  <c:v>0.2223</c:v>
                </c:pt>
                <c:pt idx="17">
                  <c:v>0.2223</c:v>
                </c:pt>
                <c:pt idx="18">
                  <c:v>0.21210000000000001</c:v>
                </c:pt>
                <c:pt idx="19">
                  <c:v>0.20599999999999999</c:v>
                </c:pt>
                <c:pt idx="20">
                  <c:v>0.21210000000000001</c:v>
                </c:pt>
                <c:pt idx="21">
                  <c:v>0.20899999999999999</c:v>
                </c:pt>
                <c:pt idx="22">
                  <c:v>0.2223</c:v>
                </c:pt>
                <c:pt idx="23">
                  <c:v>0.2447</c:v>
                </c:pt>
                <c:pt idx="24">
                  <c:v>0.24679999999999999</c:v>
                </c:pt>
                <c:pt idx="25">
                  <c:v>0.2702</c:v>
                </c:pt>
                <c:pt idx="26">
                  <c:v>0.2631</c:v>
                </c:pt>
                <c:pt idx="27">
                  <c:v>0.2631</c:v>
                </c:pt>
                <c:pt idx="28">
                  <c:v>0.2447</c:v>
                </c:pt>
                <c:pt idx="29">
                  <c:v>0.27529999999999999</c:v>
                </c:pt>
                <c:pt idx="30">
                  <c:v>0.29570000000000002</c:v>
                </c:pt>
                <c:pt idx="31">
                  <c:v>0.28549999999999998</c:v>
                </c:pt>
                <c:pt idx="32">
                  <c:v>0.31809999999999999</c:v>
                </c:pt>
                <c:pt idx="33">
                  <c:v>0.33139999999999997</c:v>
                </c:pt>
                <c:pt idx="34">
                  <c:v>0.30080000000000001</c:v>
                </c:pt>
                <c:pt idx="35">
                  <c:v>0.33450000000000002</c:v>
                </c:pt>
                <c:pt idx="36">
                  <c:v>0.36909999999999998</c:v>
                </c:pt>
                <c:pt idx="37">
                  <c:v>0.4405</c:v>
                </c:pt>
                <c:pt idx="38">
                  <c:v>0.55059999999999998</c:v>
                </c:pt>
                <c:pt idx="39">
                  <c:v>0.5353</c:v>
                </c:pt>
                <c:pt idx="40">
                  <c:v>0.63729999999999998</c:v>
                </c:pt>
                <c:pt idx="41">
                  <c:v>0.7954</c:v>
                </c:pt>
                <c:pt idx="42">
                  <c:v>0.83109999999999995</c:v>
                </c:pt>
                <c:pt idx="43">
                  <c:v>0.81779999999999997</c:v>
                </c:pt>
                <c:pt idx="44">
                  <c:v>1.0503</c:v>
                </c:pt>
                <c:pt idx="45">
                  <c:v>0.95850000000000002</c:v>
                </c:pt>
                <c:pt idx="46">
                  <c:v>0.622</c:v>
                </c:pt>
                <c:pt idx="47">
                  <c:v>0.42009999999999997</c:v>
                </c:pt>
                <c:pt idx="48">
                  <c:v>0.42009999999999997</c:v>
                </c:pt>
                <c:pt idx="49">
                  <c:v>0.38550000000000001</c:v>
                </c:pt>
                <c:pt idx="50">
                  <c:v>0.32629999999999998</c:v>
                </c:pt>
                <c:pt idx="51">
                  <c:v>0.32829999999999998</c:v>
                </c:pt>
                <c:pt idx="52">
                  <c:v>0.21210000000000001</c:v>
                </c:pt>
                <c:pt idx="53">
                  <c:v>0.14069999999999999</c:v>
                </c:pt>
                <c:pt idx="54">
                  <c:v>9.3799999999999994E-2</c:v>
                </c:pt>
                <c:pt idx="55">
                  <c:v>7.9500000000000001E-2</c:v>
                </c:pt>
                <c:pt idx="56">
                  <c:v>8.3599999999999994E-2</c:v>
                </c:pt>
                <c:pt idx="57">
                  <c:v>8.6699999999999999E-2</c:v>
                </c:pt>
                <c:pt idx="58">
                  <c:v>5.91E-2</c:v>
                </c:pt>
                <c:pt idx="59">
                  <c:v>4.8899999999999999E-2</c:v>
                </c:pt>
                <c:pt idx="60">
                  <c:v>3.5700000000000003E-2</c:v>
                </c:pt>
                <c:pt idx="61">
                  <c:v>4.2799999999999998E-2</c:v>
                </c:pt>
                <c:pt idx="62">
                  <c:v>2.5499999999999998E-2</c:v>
                </c:pt>
                <c:pt idx="63">
                  <c:v>2.24E-2</c:v>
                </c:pt>
                <c:pt idx="64">
                  <c:v>1.84E-2</c:v>
                </c:pt>
                <c:pt idx="65">
                  <c:v>1.5299999999999999E-2</c:v>
                </c:pt>
                <c:pt idx="66">
                  <c:v>1.0200000000000001E-2</c:v>
                </c:pt>
                <c:pt idx="67">
                  <c:v>8.2000000000000007E-3</c:v>
                </c:pt>
                <c:pt idx="68">
                  <c:v>5.1000000000000004E-3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8C-43FA-AA1B-781E13795677}"/>
            </c:ext>
          </c:extLst>
        </c:ser>
        <c:ser>
          <c:idx val="2"/>
          <c:order val="1"/>
          <c:tx>
            <c:strRef>
              <c:f>'2026-PSA-MAN1C'!$F$2</c:f>
              <c:strCache>
                <c:ptCount val="1"/>
                <c:pt idx="0">
                  <c:v>NS (%g)</c:v>
                </c:pt>
              </c:strCache>
            </c:strRef>
          </c:tx>
          <c:spPr>
            <a:ln w="9525" cap="rnd">
              <a:solidFill>
                <a:srgbClr val="0000FF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'2026-PSA-MAN1C'!$A$3:$A$71</c:f>
              <c:numCache>
                <c:formatCode>General</c:formatCode>
                <c:ptCount val="6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</c:v>
                </c:pt>
                <c:pt idx="20">
                  <c:v>0.11</c:v>
                </c:pt>
                <c:pt idx="21">
                  <c:v>0.12</c:v>
                </c:pt>
                <c:pt idx="22">
                  <c:v>0.13</c:v>
                </c:pt>
                <c:pt idx="23">
                  <c:v>0.14000000000000001</c:v>
                </c:pt>
                <c:pt idx="24">
                  <c:v>0.15</c:v>
                </c:pt>
                <c:pt idx="25">
                  <c:v>0.16</c:v>
                </c:pt>
                <c:pt idx="26">
                  <c:v>0.17</c:v>
                </c:pt>
                <c:pt idx="27">
                  <c:v>0.18</c:v>
                </c:pt>
                <c:pt idx="28">
                  <c:v>0.19</c:v>
                </c:pt>
                <c:pt idx="29">
                  <c:v>0.21</c:v>
                </c:pt>
                <c:pt idx="30">
                  <c:v>0.23</c:v>
                </c:pt>
                <c:pt idx="31">
                  <c:v>0.25</c:v>
                </c:pt>
                <c:pt idx="32">
                  <c:v>0.27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0.34</c:v>
                </c:pt>
                <c:pt idx="36">
                  <c:v>0.37</c:v>
                </c:pt>
                <c:pt idx="37">
                  <c:v>0.4</c:v>
                </c:pt>
                <c:pt idx="38">
                  <c:v>0.43</c:v>
                </c:pt>
                <c:pt idx="39">
                  <c:v>0.46</c:v>
                </c:pt>
                <c:pt idx="40">
                  <c:v>0.49</c:v>
                </c:pt>
                <c:pt idx="41">
                  <c:v>0.52</c:v>
                </c:pt>
                <c:pt idx="42">
                  <c:v>0.55000000000000004</c:v>
                </c:pt>
                <c:pt idx="43">
                  <c:v>0.57999999999999996</c:v>
                </c:pt>
                <c:pt idx="44">
                  <c:v>0.62</c:v>
                </c:pt>
                <c:pt idx="45">
                  <c:v>0.65</c:v>
                </c:pt>
                <c:pt idx="46">
                  <c:v>0.7</c:v>
                </c:pt>
                <c:pt idx="47">
                  <c:v>0.75</c:v>
                </c:pt>
                <c:pt idx="48">
                  <c:v>0.8</c:v>
                </c:pt>
                <c:pt idx="49">
                  <c:v>0.85</c:v>
                </c:pt>
                <c:pt idx="50">
                  <c:v>0.9</c:v>
                </c:pt>
                <c:pt idx="51">
                  <c:v>0.95</c:v>
                </c:pt>
                <c:pt idx="52">
                  <c:v>1</c:v>
                </c:pt>
                <c:pt idx="53">
                  <c:v>1.1000000000000001</c:v>
                </c:pt>
                <c:pt idx="54">
                  <c:v>1.2</c:v>
                </c:pt>
                <c:pt idx="55">
                  <c:v>1.3</c:v>
                </c:pt>
                <c:pt idx="56">
                  <c:v>1.4</c:v>
                </c:pt>
                <c:pt idx="57">
                  <c:v>1.5</c:v>
                </c:pt>
                <c:pt idx="58">
                  <c:v>1.6</c:v>
                </c:pt>
                <c:pt idx="59">
                  <c:v>1.8</c:v>
                </c:pt>
                <c:pt idx="60">
                  <c:v>2</c:v>
                </c:pt>
                <c:pt idx="61">
                  <c:v>2.2000000000000002</c:v>
                </c:pt>
                <c:pt idx="62">
                  <c:v>2.5</c:v>
                </c:pt>
                <c:pt idx="63">
                  <c:v>2.8</c:v>
                </c:pt>
                <c:pt idx="64">
                  <c:v>3</c:v>
                </c:pt>
                <c:pt idx="65">
                  <c:v>3.5</c:v>
                </c:pt>
                <c:pt idx="66">
                  <c:v>4</c:v>
                </c:pt>
                <c:pt idx="67">
                  <c:v>4.5</c:v>
                </c:pt>
                <c:pt idx="68">
                  <c:v>5</c:v>
                </c:pt>
              </c:numCache>
            </c:numRef>
          </c:xVal>
          <c:yVal>
            <c:numRef>
              <c:f>'2026-PSA-MAN1C'!$F$3:$F$71</c:f>
              <c:numCache>
                <c:formatCode>0.00%</c:formatCode>
                <c:ptCount val="69"/>
                <c:pt idx="0">
                  <c:v>0.36509999999999998</c:v>
                </c:pt>
                <c:pt idx="1">
                  <c:v>0.33450000000000002</c:v>
                </c:pt>
                <c:pt idx="2">
                  <c:v>0.34870000000000001</c:v>
                </c:pt>
                <c:pt idx="3">
                  <c:v>0.28549999999999998</c:v>
                </c:pt>
                <c:pt idx="4">
                  <c:v>0.26</c:v>
                </c:pt>
                <c:pt idx="5">
                  <c:v>0.28549999999999998</c:v>
                </c:pt>
                <c:pt idx="6">
                  <c:v>0.29060000000000002</c:v>
                </c:pt>
                <c:pt idx="7">
                  <c:v>0.2651</c:v>
                </c:pt>
                <c:pt idx="8">
                  <c:v>0.22939999999999999</c:v>
                </c:pt>
                <c:pt idx="9">
                  <c:v>0.23760000000000001</c:v>
                </c:pt>
                <c:pt idx="10">
                  <c:v>0.2162</c:v>
                </c:pt>
                <c:pt idx="11">
                  <c:v>0.2039</c:v>
                </c:pt>
                <c:pt idx="12">
                  <c:v>0.2039</c:v>
                </c:pt>
                <c:pt idx="13">
                  <c:v>0.1958</c:v>
                </c:pt>
                <c:pt idx="14">
                  <c:v>0.18559999999999999</c:v>
                </c:pt>
                <c:pt idx="15">
                  <c:v>0.17330000000000001</c:v>
                </c:pt>
                <c:pt idx="16">
                  <c:v>0.17130000000000001</c:v>
                </c:pt>
                <c:pt idx="17">
                  <c:v>0.1784</c:v>
                </c:pt>
                <c:pt idx="18">
                  <c:v>0.18659999999999999</c:v>
                </c:pt>
                <c:pt idx="19">
                  <c:v>0.18859999999999999</c:v>
                </c:pt>
                <c:pt idx="20">
                  <c:v>0.1988</c:v>
                </c:pt>
                <c:pt idx="21">
                  <c:v>0.20599999999999999</c:v>
                </c:pt>
                <c:pt idx="22">
                  <c:v>0.2019</c:v>
                </c:pt>
                <c:pt idx="23">
                  <c:v>0.1958</c:v>
                </c:pt>
                <c:pt idx="24">
                  <c:v>0.2019</c:v>
                </c:pt>
                <c:pt idx="25">
                  <c:v>0.1988</c:v>
                </c:pt>
                <c:pt idx="26">
                  <c:v>0.22639999999999999</c:v>
                </c:pt>
                <c:pt idx="27">
                  <c:v>0.21410000000000001</c:v>
                </c:pt>
                <c:pt idx="28">
                  <c:v>0.2223</c:v>
                </c:pt>
                <c:pt idx="29">
                  <c:v>0.23250000000000001</c:v>
                </c:pt>
                <c:pt idx="30">
                  <c:v>0.22639999999999999</c:v>
                </c:pt>
                <c:pt idx="31">
                  <c:v>0.25490000000000002</c:v>
                </c:pt>
                <c:pt idx="32">
                  <c:v>0.2631</c:v>
                </c:pt>
                <c:pt idx="33">
                  <c:v>0.2427</c:v>
                </c:pt>
                <c:pt idx="34">
                  <c:v>0.27739999999999998</c:v>
                </c:pt>
                <c:pt idx="35">
                  <c:v>0.28039999999999998</c:v>
                </c:pt>
                <c:pt idx="36">
                  <c:v>0.33450000000000002</c:v>
                </c:pt>
                <c:pt idx="37">
                  <c:v>0.3926</c:v>
                </c:pt>
                <c:pt idx="38">
                  <c:v>0.51190000000000002</c:v>
                </c:pt>
                <c:pt idx="39">
                  <c:v>0.50170000000000003</c:v>
                </c:pt>
                <c:pt idx="40">
                  <c:v>0.56589999999999996</c:v>
                </c:pt>
                <c:pt idx="41">
                  <c:v>0.69540000000000002</c:v>
                </c:pt>
                <c:pt idx="42">
                  <c:v>0.78720000000000001</c:v>
                </c:pt>
                <c:pt idx="43">
                  <c:v>0.86680000000000001</c:v>
                </c:pt>
                <c:pt idx="44">
                  <c:v>0.7954</c:v>
                </c:pt>
                <c:pt idx="45">
                  <c:v>1.0218</c:v>
                </c:pt>
                <c:pt idx="46">
                  <c:v>0.63729999999999998</c:v>
                </c:pt>
                <c:pt idx="47">
                  <c:v>0.48949999999999999</c:v>
                </c:pt>
                <c:pt idx="48">
                  <c:v>0.37730000000000002</c:v>
                </c:pt>
                <c:pt idx="49">
                  <c:v>0.38750000000000001</c:v>
                </c:pt>
                <c:pt idx="50">
                  <c:v>0.33450000000000002</c:v>
                </c:pt>
                <c:pt idx="51">
                  <c:v>0.311</c:v>
                </c:pt>
                <c:pt idx="52">
                  <c:v>0.27529999999999999</c:v>
                </c:pt>
                <c:pt idx="53">
                  <c:v>0.21920000000000001</c:v>
                </c:pt>
                <c:pt idx="54">
                  <c:v>0.21920000000000001</c:v>
                </c:pt>
                <c:pt idx="55">
                  <c:v>0.18149999999999999</c:v>
                </c:pt>
                <c:pt idx="56">
                  <c:v>0.16819999999999999</c:v>
                </c:pt>
                <c:pt idx="57">
                  <c:v>0.1142</c:v>
                </c:pt>
                <c:pt idx="58">
                  <c:v>6.93E-2</c:v>
                </c:pt>
                <c:pt idx="59">
                  <c:v>6.3200000000000006E-2</c:v>
                </c:pt>
                <c:pt idx="60">
                  <c:v>4.5900000000000003E-2</c:v>
                </c:pt>
                <c:pt idx="61">
                  <c:v>2.86E-2</c:v>
                </c:pt>
                <c:pt idx="62">
                  <c:v>2.0400000000000001E-2</c:v>
                </c:pt>
                <c:pt idx="63">
                  <c:v>2.5499999999999998E-2</c:v>
                </c:pt>
                <c:pt idx="64">
                  <c:v>1.84E-2</c:v>
                </c:pt>
                <c:pt idx="65">
                  <c:v>1.2200000000000001E-2</c:v>
                </c:pt>
                <c:pt idx="66">
                  <c:v>8.2000000000000007E-3</c:v>
                </c:pt>
                <c:pt idx="67">
                  <c:v>6.1000000000000004E-3</c:v>
                </c:pt>
                <c:pt idx="68">
                  <c:v>5.1000000000000004E-3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8C-43FA-AA1B-781E13795677}"/>
            </c:ext>
          </c:extLst>
        </c:ser>
        <c:ser>
          <c:idx val="3"/>
          <c:order val="2"/>
          <c:tx>
            <c:strRef>
              <c:f>'2026-PSA-MAN1C'!$G$2</c:f>
              <c:strCache>
                <c:ptCount val="1"/>
                <c:pt idx="0">
                  <c:v>V (%g)</c:v>
                </c:pt>
              </c:strCache>
            </c:strRef>
          </c:tx>
          <c:spPr>
            <a:ln w="9525" cap="rnd">
              <a:solidFill>
                <a:srgbClr val="00B05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'2026-PSA-MAN1C'!$A$3:$A$71</c:f>
              <c:numCache>
                <c:formatCode>General</c:formatCode>
                <c:ptCount val="69"/>
                <c:pt idx="0">
                  <c:v>0.01</c:v>
                </c:pt>
                <c:pt idx="1">
                  <c:v>1.2E-2</c:v>
                </c:pt>
                <c:pt idx="2">
                  <c:v>1.4E-2</c:v>
                </c:pt>
                <c:pt idx="3">
                  <c:v>1.6E-2</c:v>
                </c:pt>
                <c:pt idx="4">
                  <c:v>1.7999999999999999E-2</c:v>
                </c:pt>
                <c:pt idx="5">
                  <c:v>0.02</c:v>
                </c:pt>
                <c:pt idx="6">
                  <c:v>2.1999999999999999E-2</c:v>
                </c:pt>
                <c:pt idx="7">
                  <c:v>2.5000000000000001E-2</c:v>
                </c:pt>
                <c:pt idx="8">
                  <c:v>2.8000000000000001E-2</c:v>
                </c:pt>
                <c:pt idx="9">
                  <c:v>0.03</c:v>
                </c:pt>
                <c:pt idx="10">
                  <c:v>3.5000000000000003E-2</c:v>
                </c:pt>
                <c:pt idx="11">
                  <c:v>0.04</c:v>
                </c:pt>
                <c:pt idx="12">
                  <c:v>4.4999999999999998E-2</c:v>
                </c:pt>
                <c:pt idx="13">
                  <c:v>0.05</c:v>
                </c:pt>
                <c:pt idx="14">
                  <c:v>5.5E-2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</c:v>
                </c:pt>
                <c:pt idx="20">
                  <c:v>0.11</c:v>
                </c:pt>
                <c:pt idx="21">
                  <c:v>0.12</c:v>
                </c:pt>
                <c:pt idx="22">
                  <c:v>0.13</c:v>
                </c:pt>
                <c:pt idx="23">
                  <c:v>0.14000000000000001</c:v>
                </c:pt>
                <c:pt idx="24">
                  <c:v>0.15</c:v>
                </c:pt>
                <c:pt idx="25">
                  <c:v>0.16</c:v>
                </c:pt>
                <c:pt idx="26">
                  <c:v>0.17</c:v>
                </c:pt>
                <c:pt idx="27">
                  <c:v>0.18</c:v>
                </c:pt>
                <c:pt idx="28">
                  <c:v>0.19</c:v>
                </c:pt>
                <c:pt idx="29">
                  <c:v>0.21</c:v>
                </c:pt>
                <c:pt idx="30">
                  <c:v>0.23</c:v>
                </c:pt>
                <c:pt idx="31">
                  <c:v>0.25</c:v>
                </c:pt>
                <c:pt idx="32">
                  <c:v>0.27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0.34</c:v>
                </c:pt>
                <c:pt idx="36">
                  <c:v>0.37</c:v>
                </c:pt>
                <c:pt idx="37">
                  <c:v>0.4</c:v>
                </c:pt>
                <c:pt idx="38">
                  <c:v>0.43</c:v>
                </c:pt>
                <c:pt idx="39">
                  <c:v>0.46</c:v>
                </c:pt>
                <c:pt idx="40">
                  <c:v>0.49</c:v>
                </c:pt>
                <c:pt idx="41">
                  <c:v>0.52</c:v>
                </c:pt>
                <c:pt idx="42">
                  <c:v>0.55000000000000004</c:v>
                </c:pt>
                <c:pt idx="43">
                  <c:v>0.57999999999999996</c:v>
                </c:pt>
                <c:pt idx="44">
                  <c:v>0.62</c:v>
                </c:pt>
                <c:pt idx="45">
                  <c:v>0.65</c:v>
                </c:pt>
                <c:pt idx="46">
                  <c:v>0.7</c:v>
                </c:pt>
                <c:pt idx="47">
                  <c:v>0.75</c:v>
                </c:pt>
                <c:pt idx="48">
                  <c:v>0.8</c:v>
                </c:pt>
                <c:pt idx="49">
                  <c:v>0.85</c:v>
                </c:pt>
                <c:pt idx="50">
                  <c:v>0.9</c:v>
                </c:pt>
                <c:pt idx="51">
                  <c:v>0.95</c:v>
                </c:pt>
                <c:pt idx="52">
                  <c:v>1</c:v>
                </c:pt>
                <c:pt idx="53">
                  <c:v>1.1000000000000001</c:v>
                </c:pt>
                <c:pt idx="54">
                  <c:v>1.2</c:v>
                </c:pt>
                <c:pt idx="55">
                  <c:v>1.3</c:v>
                </c:pt>
                <c:pt idx="56">
                  <c:v>1.4</c:v>
                </c:pt>
                <c:pt idx="57">
                  <c:v>1.5</c:v>
                </c:pt>
                <c:pt idx="58">
                  <c:v>1.6</c:v>
                </c:pt>
                <c:pt idx="59">
                  <c:v>1.8</c:v>
                </c:pt>
                <c:pt idx="60">
                  <c:v>2</c:v>
                </c:pt>
                <c:pt idx="61">
                  <c:v>2.2000000000000002</c:v>
                </c:pt>
                <c:pt idx="62">
                  <c:v>2.5</c:v>
                </c:pt>
                <c:pt idx="63">
                  <c:v>2.8</c:v>
                </c:pt>
                <c:pt idx="64">
                  <c:v>3</c:v>
                </c:pt>
                <c:pt idx="65">
                  <c:v>3.5</c:v>
                </c:pt>
                <c:pt idx="66">
                  <c:v>4</c:v>
                </c:pt>
                <c:pt idx="67">
                  <c:v>4.5</c:v>
                </c:pt>
                <c:pt idx="68">
                  <c:v>5</c:v>
                </c:pt>
              </c:numCache>
            </c:numRef>
          </c:xVal>
          <c:yVal>
            <c:numRef>
              <c:f>'2026-PSA-MAN1C'!$G$3:$G$71</c:f>
              <c:numCache>
                <c:formatCode>0.00%</c:formatCode>
                <c:ptCount val="69"/>
                <c:pt idx="0">
                  <c:v>8.1600000000000006E-2</c:v>
                </c:pt>
                <c:pt idx="1">
                  <c:v>7.3400000000000007E-2</c:v>
                </c:pt>
                <c:pt idx="2">
                  <c:v>7.3400000000000007E-2</c:v>
                </c:pt>
                <c:pt idx="3">
                  <c:v>7.6499999999999999E-2</c:v>
                </c:pt>
                <c:pt idx="4">
                  <c:v>7.9500000000000001E-2</c:v>
                </c:pt>
                <c:pt idx="5">
                  <c:v>7.1400000000000005E-2</c:v>
                </c:pt>
                <c:pt idx="6">
                  <c:v>7.3400000000000007E-2</c:v>
                </c:pt>
                <c:pt idx="7">
                  <c:v>7.4399999999999994E-2</c:v>
                </c:pt>
                <c:pt idx="8">
                  <c:v>7.3400000000000007E-2</c:v>
                </c:pt>
                <c:pt idx="9">
                  <c:v>7.6499999999999999E-2</c:v>
                </c:pt>
                <c:pt idx="10">
                  <c:v>7.7499999999999999E-2</c:v>
                </c:pt>
                <c:pt idx="11">
                  <c:v>7.9500000000000001E-2</c:v>
                </c:pt>
                <c:pt idx="12">
                  <c:v>7.6499999999999999E-2</c:v>
                </c:pt>
                <c:pt idx="13">
                  <c:v>7.6499999999999999E-2</c:v>
                </c:pt>
                <c:pt idx="14">
                  <c:v>7.4399999999999994E-2</c:v>
                </c:pt>
                <c:pt idx="15">
                  <c:v>7.4399999999999994E-2</c:v>
                </c:pt>
                <c:pt idx="16">
                  <c:v>8.1600000000000006E-2</c:v>
                </c:pt>
                <c:pt idx="17">
                  <c:v>7.9500000000000001E-2</c:v>
                </c:pt>
                <c:pt idx="18">
                  <c:v>7.6499999999999999E-2</c:v>
                </c:pt>
                <c:pt idx="19">
                  <c:v>0.104</c:v>
                </c:pt>
                <c:pt idx="20">
                  <c:v>0.1101</c:v>
                </c:pt>
                <c:pt idx="21">
                  <c:v>8.1600000000000006E-2</c:v>
                </c:pt>
                <c:pt idx="22">
                  <c:v>0.104</c:v>
                </c:pt>
                <c:pt idx="23">
                  <c:v>0.12239999999999999</c:v>
                </c:pt>
                <c:pt idx="24">
                  <c:v>0.1203</c:v>
                </c:pt>
                <c:pt idx="25">
                  <c:v>0.14069999999999999</c:v>
                </c:pt>
                <c:pt idx="26">
                  <c:v>0.15290000000000001</c:v>
                </c:pt>
                <c:pt idx="27">
                  <c:v>0.14069999999999999</c:v>
                </c:pt>
                <c:pt idx="28">
                  <c:v>0.16320000000000001</c:v>
                </c:pt>
                <c:pt idx="29">
                  <c:v>0.14280000000000001</c:v>
                </c:pt>
                <c:pt idx="30">
                  <c:v>0.15809999999999999</c:v>
                </c:pt>
                <c:pt idx="31">
                  <c:v>0.18859999999999999</c:v>
                </c:pt>
                <c:pt idx="32">
                  <c:v>0.2223</c:v>
                </c:pt>
                <c:pt idx="33">
                  <c:v>0.19170000000000001</c:v>
                </c:pt>
                <c:pt idx="34">
                  <c:v>0.22939999999999999</c:v>
                </c:pt>
                <c:pt idx="35">
                  <c:v>0.21920000000000001</c:v>
                </c:pt>
                <c:pt idx="36">
                  <c:v>0.1784</c:v>
                </c:pt>
                <c:pt idx="37">
                  <c:v>0.19370000000000001</c:v>
                </c:pt>
                <c:pt idx="38">
                  <c:v>0.16320000000000001</c:v>
                </c:pt>
                <c:pt idx="39">
                  <c:v>0.15809999999999999</c:v>
                </c:pt>
                <c:pt idx="40">
                  <c:v>0.1346</c:v>
                </c:pt>
                <c:pt idx="41">
                  <c:v>0.1784</c:v>
                </c:pt>
                <c:pt idx="42">
                  <c:v>0.19170000000000001</c:v>
                </c:pt>
                <c:pt idx="43">
                  <c:v>0.2019</c:v>
                </c:pt>
                <c:pt idx="44">
                  <c:v>0.1835</c:v>
                </c:pt>
                <c:pt idx="45">
                  <c:v>0.18559999999999999</c:v>
                </c:pt>
                <c:pt idx="46">
                  <c:v>0.11219999999999999</c:v>
                </c:pt>
                <c:pt idx="47">
                  <c:v>0.10199999999999999</c:v>
                </c:pt>
                <c:pt idx="48">
                  <c:v>9.9900000000000003E-2</c:v>
                </c:pt>
                <c:pt idx="49">
                  <c:v>7.3400000000000007E-2</c:v>
                </c:pt>
                <c:pt idx="50">
                  <c:v>5.2999999999999999E-2</c:v>
                </c:pt>
                <c:pt idx="51">
                  <c:v>4.5900000000000003E-2</c:v>
                </c:pt>
                <c:pt idx="52">
                  <c:v>4.0800000000000003E-2</c:v>
                </c:pt>
                <c:pt idx="53">
                  <c:v>4.5900000000000003E-2</c:v>
                </c:pt>
                <c:pt idx="54">
                  <c:v>3.8699999999999998E-2</c:v>
                </c:pt>
                <c:pt idx="55">
                  <c:v>2.6499999999999999E-2</c:v>
                </c:pt>
                <c:pt idx="56">
                  <c:v>2.24E-2</c:v>
                </c:pt>
                <c:pt idx="57">
                  <c:v>2.0400000000000001E-2</c:v>
                </c:pt>
                <c:pt idx="58">
                  <c:v>1.5299999999999999E-2</c:v>
                </c:pt>
                <c:pt idx="59">
                  <c:v>1.43E-2</c:v>
                </c:pt>
                <c:pt idx="60">
                  <c:v>1.6299999999999999E-2</c:v>
                </c:pt>
                <c:pt idx="61">
                  <c:v>1.2200000000000001E-2</c:v>
                </c:pt>
                <c:pt idx="62">
                  <c:v>8.2000000000000007E-3</c:v>
                </c:pt>
                <c:pt idx="63">
                  <c:v>6.1000000000000004E-3</c:v>
                </c:pt>
                <c:pt idx="64">
                  <c:v>6.1000000000000004E-3</c:v>
                </c:pt>
                <c:pt idx="65">
                  <c:v>5.1000000000000004E-3</c:v>
                </c:pt>
                <c:pt idx="66">
                  <c:v>4.1000000000000003E-3</c:v>
                </c:pt>
                <c:pt idx="67">
                  <c:v>3.0999999999999999E-3</c:v>
                </c:pt>
                <c:pt idx="68">
                  <c:v>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8C-43FA-AA1B-781E13795677}"/>
            </c:ext>
          </c:extLst>
        </c:ser>
        <c:ser>
          <c:idx val="4"/>
          <c:order val="3"/>
          <c:tx>
            <c:strRef>
              <c:f>ESPECTRO_NSR10!$N$28</c:f>
              <c:strCache>
                <c:ptCount val="1"/>
                <c:pt idx="0">
                  <c:v>Espec. NSR-10, Suelo D, Aa=0.25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ESPECTRO_NSR10!$A$13:$A$65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0.70153846153846156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ESPECTRO_NSR10!$B$13:$B$65</c:f>
              <c:numCache>
                <c:formatCode>0.0000</c:formatCode>
                <c:ptCount val="53"/>
                <c:pt idx="0">
                  <c:v>0.32499999999999996</c:v>
                </c:pt>
                <c:pt idx="1">
                  <c:v>0.81249999999999989</c:v>
                </c:pt>
                <c:pt idx="2">
                  <c:v>0.81249999999999989</c:v>
                </c:pt>
                <c:pt idx="3">
                  <c:v>0.71249999999999991</c:v>
                </c:pt>
                <c:pt idx="4">
                  <c:v>0.6333333333333333</c:v>
                </c:pt>
                <c:pt idx="5">
                  <c:v>0.56999999999999995</c:v>
                </c:pt>
                <c:pt idx="6">
                  <c:v>0.51818181818181808</c:v>
                </c:pt>
                <c:pt idx="7">
                  <c:v>0.47499999999999987</c:v>
                </c:pt>
                <c:pt idx="8">
                  <c:v>0.43846153846153835</c:v>
                </c:pt>
                <c:pt idx="9">
                  <c:v>0.40714285714285703</c:v>
                </c:pt>
                <c:pt idx="10">
                  <c:v>0.37999999999999984</c:v>
                </c:pt>
                <c:pt idx="11">
                  <c:v>0.35624999999999984</c:v>
                </c:pt>
                <c:pt idx="12">
                  <c:v>0.33529411764705869</c:v>
                </c:pt>
                <c:pt idx="13">
                  <c:v>0.31666666666666654</c:v>
                </c:pt>
                <c:pt idx="14">
                  <c:v>0.29999999999999982</c:v>
                </c:pt>
                <c:pt idx="15">
                  <c:v>0.28499999999999986</c:v>
                </c:pt>
                <c:pt idx="16">
                  <c:v>0.2714285714285713</c:v>
                </c:pt>
                <c:pt idx="17">
                  <c:v>0.25909090909090893</c:v>
                </c:pt>
                <c:pt idx="18">
                  <c:v>0.24782608695652159</c:v>
                </c:pt>
                <c:pt idx="19">
                  <c:v>0.23749999999999985</c:v>
                </c:pt>
                <c:pt idx="20">
                  <c:v>0.22799999999999987</c:v>
                </c:pt>
                <c:pt idx="21">
                  <c:v>0.21923076923076909</c:v>
                </c:pt>
                <c:pt idx="22">
                  <c:v>0.21111111111111097</c:v>
                </c:pt>
                <c:pt idx="23">
                  <c:v>0.20357142857142843</c:v>
                </c:pt>
                <c:pt idx="24">
                  <c:v>0.1965517241379309</c:v>
                </c:pt>
                <c:pt idx="25">
                  <c:v>0.18999999999999986</c:v>
                </c:pt>
                <c:pt idx="26">
                  <c:v>0.18387096774193537</c:v>
                </c:pt>
                <c:pt idx="27">
                  <c:v>0.17812499999999987</c:v>
                </c:pt>
                <c:pt idx="28">
                  <c:v>0.17272727272727262</c:v>
                </c:pt>
                <c:pt idx="29">
                  <c:v>0.16764705882352929</c:v>
                </c:pt>
                <c:pt idx="30">
                  <c:v>0.16285714285714273</c:v>
                </c:pt>
                <c:pt idx="31">
                  <c:v>0.15833333333333321</c:v>
                </c:pt>
                <c:pt idx="32">
                  <c:v>0.15405405405405395</c:v>
                </c:pt>
                <c:pt idx="33">
                  <c:v>0.14999999999999988</c:v>
                </c:pt>
                <c:pt idx="34">
                  <c:v>0.14615384615384605</c:v>
                </c:pt>
                <c:pt idx="35">
                  <c:v>0.1424999999999999</c:v>
                </c:pt>
                <c:pt idx="36">
                  <c:v>0.13902439024390234</c:v>
                </c:pt>
                <c:pt idx="37">
                  <c:v>0.13571428571428565</c:v>
                </c:pt>
                <c:pt idx="38">
                  <c:v>0.13255813953488366</c:v>
                </c:pt>
                <c:pt idx="39">
                  <c:v>0.12954545454545449</c:v>
                </c:pt>
                <c:pt idx="40">
                  <c:v>0.12666666666666662</c:v>
                </c:pt>
                <c:pt idx="41">
                  <c:v>0.12283553875236292</c:v>
                </c:pt>
                <c:pt idx="42">
                  <c:v>0.1176641014033499</c:v>
                </c:pt>
                <c:pt idx="43">
                  <c:v>0.1128125</c:v>
                </c:pt>
                <c:pt idx="44">
                  <c:v>0.1082548937942524</c:v>
                </c:pt>
                <c:pt idx="45">
                  <c:v>0.10396800000000002</c:v>
                </c:pt>
                <c:pt idx="46">
                  <c:v>9.99307958477509E-2</c:v>
                </c:pt>
                <c:pt idx="47">
                  <c:v>9.6124260355029634E-2</c:v>
                </c:pt>
                <c:pt idx="48">
                  <c:v>9.2531149875400565E-2</c:v>
                </c:pt>
                <c:pt idx="49">
                  <c:v>8.9135802469135869E-2</c:v>
                </c:pt>
                <c:pt idx="50">
                  <c:v>8.5923966942148836E-2</c:v>
                </c:pt>
                <c:pt idx="51">
                  <c:v>8.2882653061224568E-2</c:v>
                </c:pt>
                <c:pt idx="52">
                  <c:v>8.0000000000000085E-2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A8C-43FA-AA1B-781E13795677}"/>
            </c:ext>
          </c:extLst>
        </c:ser>
        <c:ser>
          <c:idx val="0"/>
          <c:order val="4"/>
          <c:tx>
            <c:strRef>
              <c:f>Micro_Manizales!$K$17</c:f>
              <c:strCache>
                <c:ptCount val="1"/>
                <c:pt idx="0">
                  <c:v>Espec. Manizales, Zona A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dash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Micro_Manizales!$A$14:$A$49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0.65</c:v>
                </c:pt>
                <c:pt idx="3">
                  <c:v>0.7</c:v>
                </c:pt>
                <c:pt idx="4">
                  <c:v>0.79999999999999993</c:v>
                </c:pt>
                <c:pt idx="5">
                  <c:v>0.89999999999999991</c:v>
                </c:pt>
                <c:pt idx="6">
                  <c:v>0.99999999999999989</c:v>
                </c:pt>
                <c:pt idx="7">
                  <c:v>1.0999999999999999</c:v>
                </c:pt>
                <c:pt idx="8">
                  <c:v>1.2</c:v>
                </c:pt>
                <c:pt idx="9">
                  <c:v>1.3</c:v>
                </c:pt>
                <c:pt idx="10">
                  <c:v>1.4000000000000001</c:v>
                </c:pt>
                <c:pt idx="11">
                  <c:v>1.5000000000000002</c:v>
                </c:pt>
                <c:pt idx="12">
                  <c:v>1.6000000000000003</c:v>
                </c:pt>
                <c:pt idx="13">
                  <c:v>1.7000000000000004</c:v>
                </c:pt>
                <c:pt idx="14">
                  <c:v>1.8000000000000005</c:v>
                </c:pt>
                <c:pt idx="15">
                  <c:v>1.9000000000000006</c:v>
                </c:pt>
                <c:pt idx="16">
                  <c:v>2.0000000000000004</c:v>
                </c:pt>
                <c:pt idx="17">
                  <c:v>2.1000000000000005</c:v>
                </c:pt>
                <c:pt idx="18">
                  <c:v>2.2000000000000006</c:v>
                </c:pt>
                <c:pt idx="19">
                  <c:v>2.3000000000000007</c:v>
                </c:pt>
                <c:pt idx="20">
                  <c:v>2.4000000000000008</c:v>
                </c:pt>
                <c:pt idx="21">
                  <c:v>2.5000000000000009</c:v>
                </c:pt>
                <c:pt idx="22">
                  <c:v>2.600000000000001</c:v>
                </c:pt>
                <c:pt idx="23">
                  <c:v>2.7000000000000011</c:v>
                </c:pt>
                <c:pt idx="24">
                  <c:v>2.8000000000000012</c:v>
                </c:pt>
                <c:pt idx="25">
                  <c:v>2.9000000000000012</c:v>
                </c:pt>
                <c:pt idx="26">
                  <c:v>3.0000000000000013</c:v>
                </c:pt>
                <c:pt idx="27">
                  <c:v>3.1000000000000014</c:v>
                </c:pt>
                <c:pt idx="28">
                  <c:v>3.2000000000000015</c:v>
                </c:pt>
                <c:pt idx="29">
                  <c:v>3.3000000000000016</c:v>
                </c:pt>
                <c:pt idx="30">
                  <c:v>3.4000000000000017</c:v>
                </c:pt>
                <c:pt idx="31">
                  <c:v>3.5000000000000018</c:v>
                </c:pt>
                <c:pt idx="32">
                  <c:v>3.6000000000000019</c:v>
                </c:pt>
                <c:pt idx="33">
                  <c:v>3.700000000000002</c:v>
                </c:pt>
                <c:pt idx="34">
                  <c:v>3.800000000000002</c:v>
                </c:pt>
                <c:pt idx="35">
                  <c:v>3.9000000000000021</c:v>
                </c:pt>
              </c:numCache>
            </c:numRef>
          </c:xVal>
          <c:yVal>
            <c:numRef>
              <c:f>Micro_Manizales!$B$14:$B$49</c:f>
              <c:numCache>
                <c:formatCode>General</c:formatCode>
                <c:ptCount val="36"/>
                <c:pt idx="0">
                  <c:v>0.44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1.0245714285714285</c:v>
                </c:pt>
                <c:pt idx="4">
                  <c:v>0.89649999999999996</c:v>
                </c:pt>
                <c:pt idx="5">
                  <c:v>0.79688888888888887</c:v>
                </c:pt>
                <c:pt idx="6">
                  <c:v>0.71720000000000006</c:v>
                </c:pt>
                <c:pt idx="7">
                  <c:v>0.65200000000000002</c:v>
                </c:pt>
                <c:pt idx="8">
                  <c:v>0.59766666666666668</c:v>
                </c:pt>
                <c:pt idx="9">
                  <c:v>0.55169230769230759</c:v>
                </c:pt>
                <c:pt idx="10">
                  <c:v>0.51228571428571423</c:v>
                </c:pt>
                <c:pt idx="11">
                  <c:v>0.47813333333333324</c:v>
                </c:pt>
                <c:pt idx="12">
                  <c:v>0.44824999999999987</c:v>
                </c:pt>
                <c:pt idx="13">
                  <c:v>0.42188235294117632</c:v>
                </c:pt>
                <c:pt idx="14">
                  <c:v>0.39844444444444432</c:v>
                </c:pt>
                <c:pt idx="15">
                  <c:v>0.37747368421052618</c:v>
                </c:pt>
                <c:pt idx="16">
                  <c:v>0.35859999999999992</c:v>
                </c:pt>
                <c:pt idx="17">
                  <c:v>0.3415238095238094</c:v>
                </c:pt>
                <c:pt idx="18">
                  <c:v>0.3259999999999999</c:v>
                </c:pt>
                <c:pt idx="19">
                  <c:v>0.31182608695652164</c:v>
                </c:pt>
                <c:pt idx="20">
                  <c:v>0.29883333333333323</c:v>
                </c:pt>
                <c:pt idx="21">
                  <c:v>0.28687999999999986</c:v>
                </c:pt>
                <c:pt idx="22">
                  <c:v>0.27584615384615374</c:v>
                </c:pt>
                <c:pt idx="23">
                  <c:v>0.26562962962962949</c:v>
                </c:pt>
                <c:pt idx="24">
                  <c:v>0.25614285714285701</c:v>
                </c:pt>
                <c:pt idx="25">
                  <c:v>0.24731034482758607</c:v>
                </c:pt>
                <c:pt idx="26">
                  <c:v>0.23906666666666654</c:v>
                </c:pt>
                <c:pt idx="27">
                  <c:v>0.2313548387096773</c:v>
                </c:pt>
                <c:pt idx="28">
                  <c:v>0.22412499999999988</c:v>
                </c:pt>
                <c:pt idx="29">
                  <c:v>0.22</c:v>
                </c:pt>
                <c:pt idx="30">
                  <c:v>0.22</c:v>
                </c:pt>
                <c:pt idx="31">
                  <c:v>0.22</c:v>
                </c:pt>
                <c:pt idx="32">
                  <c:v>0.22</c:v>
                </c:pt>
                <c:pt idx="33">
                  <c:v>0.22</c:v>
                </c:pt>
                <c:pt idx="34">
                  <c:v>0.22</c:v>
                </c:pt>
                <c:pt idx="35">
                  <c:v>0.22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A8C-43FA-AA1B-781E13795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5136"/>
        <c:axId val="378706312"/>
      </c:scatterChart>
      <c:valAx>
        <c:axId val="378705136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6312"/>
        <c:crosses val="autoZero"/>
        <c:crossBetween val="midCat"/>
      </c:valAx>
      <c:valAx>
        <c:axId val="37870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70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366" r="0.75000000000000366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ESPECTRO DE SEUDOACELERACIÓN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ESPECTRO_NSR10!$D$1</c:f>
              <c:strCache>
                <c:ptCount val="1"/>
                <c:pt idx="0">
                  <c:v>ESPECTRO - NSR-10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ESPECTRO_NSR10!$A$13:$A$65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0.70153846153846156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ESPECTRO_NSR10!$B$13:$B$65</c:f>
              <c:numCache>
                <c:formatCode>0.0000</c:formatCode>
                <c:ptCount val="53"/>
                <c:pt idx="0">
                  <c:v>0.32499999999999996</c:v>
                </c:pt>
                <c:pt idx="1">
                  <c:v>0.81249999999999989</c:v>
                </c:pt>
                <c:pt idx="2">
                  <c:v>0.81249999999999989</c:v>
                </c:pt>
                <c:pt idx="3">
                  <c:v>0.71249999999999991</c:v>
                </c:pt>
                <c:pt idx="4">
                  <c:v>0.6333333333333333</c:v>
                </c:pt>
                <c:pt idx="5">
                  <c:v>0.56999999999999995</c:v>
                </c:pt>
                <c:pt idx="6">
                  <c:v>0.51818181818181808</c:v>
                </c:pt>
                <c:pt idx="7">
                  <c:v>0.47499999999999987</c:v>
                </c:pt>
                <c:pt idx="8">
                  <c:v>0.43846153846153835</c:v>
                </c:pt>
                <c:pt idx="9">
                  <c:v>0.40714285714285703</c:v>
                </c:pt>
                <c:pt idx="10">
                  <c:v>0.37999999999999984</c:v>
                </c:pt>
                <c:pt idx="11">
                  <c:v>0.35624999999999984</c:v>
                </c:pt>
                <c:pt idx="12">
                  <c:v>0.33529411764705869</c:v>
                </c:pt>
                <c:pt idx="13">
                  <c:v>0.31666666666666654</c:v>
                </c:pt>
                <c:pt idx="14">
                  <c:v>0.29999999999999982</c:v>
                </c:pt>
                <c:pt idx="15">
                  <c:v>0.28499999999999986</c:v>
                </c:pt>
                <c:pt idx="16">
                  <c:v>0.2714285714285713</c:v>
                </c:pt>
                <c:pt idx="17">
                  <c:v>0.25909090909090893</c:v>
                </c:pt>
                <c:pt idx="18">
                  <c:v>0.24782608695652159</c:v>
                </c:pt>
                <c:pt idx="19">
                  <c:v>0.23749999999999985</c:v>
                </c:pt>
                <c:pt idx="20">
                  <c:v>0.22799999999999987</c:v>
                </c:pt>
                <c:pt idx="21">
                  <c:v>0.21923076923076909</c:v>
                </c:pt>
                <c:pt idx="22">
                  <c:v>0.21111111111111097</c:v>
                </c:pt>
                <c:pt idx="23">
                  <c:v>0.20357142857142843</c:v>
                </c:pt>
                <c:pt idx="24">
                  <c:v>0.1965517241379309</c:v>
                </c:pt>
                <c:pt idx="25">
                  <c:v>0.18999999999999986</c:v>
                </c:pt>
                <c:pt idx="26">
                  <c:v>0.18387096774193537</c:v>
                </c:pt>
                <c:pt idx="27">
                  <c:v>0.17812499999999987</c:v>
                </c:pt>
                <c:pt idx="28">
                  <c:v>0.17272727272727262</c:v>
                </c:pt>
                <c:pt idx="29">
                  <c:v>0.16764705882352929</c:v>
                </c:pt>
                <c:pt idx="30">
                  <c:v>0.16285714285714273</c:v>
                </c:pt>
                <c:pt idx="31">
                  <c:v>0.15833333333333321</c:v>
                </c:pt>
                <c:pt idx="32">
                  <c:v>0.15405405405405395</c:v>
                </c:pt>
                <c:pt idx="33">
                  <c:v>0.14999999999999988</c:v>
                </c:pt>
                <c:pt idx="34">
                  <c:v>0.14615384615384605</c:v>
                </c:pt>
                <c:pt idx="35">
                  <c:v>0.1424999999999999</c:v>
                </c:pt>
                <c:pt idx="36">
                  <c:v>0.13902439024390234</c:v>
                </c:pt>
                <c:pt idx="37">
                  <c:v>0.13571428571428565</c:v>
                </c:pt>
                <c:pt idx="38">
                  <c:v>0.13255813953488366</c:v>
                </c:pt>
                <c:pt idx="39">
                  <c:v>0.12954545454545449</c:v>
                </c:pt>
                <c:pt idx="40">
                  <c:v>0.12666666666666662</c:v>
                </c:pt>
                <c:pt idx="41">
                  <c:v>0.12283553875236292</c:v>
                </c:pt>
                <c:pt idx="42">
                  <c:v>0.1176641014033499</c:v>
                </c:pt>
                <c:pt idx="43">
                  <c:v>0.1128125</c:v>
                </c:pt>
                <c:pt idx="44">
                  <c:v>0.1082548937942524</c:v>
                </c:pt>
                <c:pt idx="45">
                  <c:v>0.10396800000000002</c:v>
                </c:pt>
                <c:pt idx="46">
                  <c:v>9.99307958477509E-2</c:v>
                </c:pt>
                <c:pt idx="47">
                  <c:v>9.6124260355029634E-2</c:v>
                </c:pt>
                <c:pt idx="48">
                  <c:v>9.2531149875400565E-2</c:v>
                </c:pt>
                <c:pt idx="49">
                  <c:v>8.9135802469135869E-2</c:v>
                </c:pt>
                <c:pt idx="50">
                  <c:v>8.5923966942148836E-2</c:v>
                </c:pt>
                <c:pt idx="51">
                  <c:v>8.2882653061224568E-2</c:v>
                </c:pt>
                <c:pt idx="52">
                  <c:v>8.0000000000000085E-2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5C-4C92-AD54-B161A0868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156232"/>
        <c:axId val="262158584"/>
      </c:scatterChart>
      <c:valAx>
        <c:axId val="262156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58584"/>
        <c:crosses val="autoZero"/>
        <c:crossBetween val="midCat"/>
      </c:valAx>
      <c:valAx>
        <c:axId val="26215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56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344" r="0.75000000000000344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ESPECTRO REDUCIDO DE SEUDOACELERACIÓN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ESPECTRO_NSR10!$D$1</c:f>
              <c:strCache>
                <c:ptCount val="1"/>
                <c:pt idx="0">
                  <c:v>ESPECTRO - NSR-10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ESPECTRO_NSR10!$A$13:$A$65</c:f>
              <c:numCache>
                <c:formatCode>General</c:formatCode>
                <c:ptCount val="53"/>
                <c:pt idx="0">
                  <c:v>0</c:v>
                </c:pt>
                <c:pt idx="1">
                  <c:v>0.14615384615384616</c:v>
                </c:pt>
                <c:pt idx="2">
                  <c:v>0.70153846153846156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1.2000000000000002</c:v>
                </c:pt>
                <c:pt idx="8">
                  <c:v>1.3000000000000003</c:v>
                </c:pt>
                <c:pt idx="9">
                  <c:v>1.4000000000000004</c:v>
                </c:pt>
                <c:pt idx="10">
                  <c:v>1.5000000000000004</c:v>
                </c:pt>
                <c:pt idx="11">
                  <c:v>1.6000000000000005</c:v>
                </c:pt>
                <c:pt idx="12">
                  <c:v>1.7000000000000006</c:v>
                </c:pt>
                <c:pt idx="13">
                  <c:v>1.8000000000000007</c:v>
                </c:pt>
                <c:pt idx="14">
                  <c:v>1.9000000000000008</c:v>
                </c:pt>
                <c:pt idx="15">
                  <c:v>2.0000000000000009</c:v>
                </c:pt>
                <c:pt idx="16">
                  <c:v>2.100000000000001</c:v>
                </c:pt>
                <c:pt idx="17">
                  <c:v>2.2000000000000011</c:v>
                </c:pt>
                <c:pt idx="18">
                  <c:v>2.3000000000000012</c:v>
                </c:pt>
                <c:pt idx="19">
                  <c:v>2.4000000000000012</c:v>
                </c:pt>
                <c:pt idx="20">
                  <c:v>2.5000000000000013</c:v>
                </c:pt>
                <c:pt idx="21">
                  <c:v>2.6000000000000014</c:v>
                </c:pt>
                <c:pt idx="22">
                  <c:v>2.7000000000000015</c:v>
                </c:pt>
                <c:pt idx="23">
                  <c:v>2.8000000000000016</c:v>
                </c:pt>
                <c:pt idx="24">
                  <c:v>2.9000000000000017</c:v>
                </c:pt>
                <c:pt idx="25">
                  <c:v>3.0000000000000018</c:v>
                </c:pt>
                <c:pt idx="26">
                  <c:v>3.1000000000000019</c:v>
                </c:pt>
                <c:pt idx="27">
                  <c:v>3.200000000000002</c:v>
                </c:pt>
                <c:pt idx="28">
                  <c:v>3.300000000000002</c:v>
                </c:pt>
                <c:pt idx="29">
                  <c:v>3.4000000000000021</c:v>
                </c:pt>
                <c:pt idx="30">
                  <c:v>3.5000000000000022</c:v>
                </c:pt>
                <c:pt idx="31">
                  <c:v>3.6000000000000023</c:v>
                </c:pt>
                <c:pt idx="32">
                  <c:v>3.7000000000000024</c:v>
                </c:pt>
                <c:pt idx="33">
                  <c:v>3.8000000000000025</c:v>
                </c:pt>
                <c:pt idx="34">
                  <c:v>3.9000000000000026</c:v>
                </c:pt>
                <c:pt idx="35">
                  <c:v>4.0000000000000027</c:v>
                </c:pt>
                <c:pt idx="36">
                  <c:v>4.1000000000000023</c:v>
                </c:pt>
                <c:pt idx="37">
                  <c:v>4.200000000000002</c:v>
                </c:pt>
                <c:pt idx="38">
                  <c:v>4.3000000000000016</c:v>
                </c:pt>
                <c:pt idx="39">
                  <c:v>4.4000000000000012</c:v>
                </c:pt>
                <c:pt idx="40">
                  <c:v>4.5000000000000009</c:v>
                </c:pt>
                <c:pt idx="41">
                  <c:v>4.6000000000000005</c:v>
                </c:pt>
                <c:pt idx="42">
                  <c:v>4.7</c:v>
                </c:pt>
                <c:pt idx="43">
                  <c:v>4.8</c:v>
                </c:pt>
                <c:pt idx="44">
                  <c:v>4.8999999999999995</c:v>
                </c:pt>
                <c:pt idx="45">
                  <c:v>4.9999999999999991</c:v>
                </c:pt>
                <c:pt idx="46">
                  <c:v>5.0999999999999988</c:v>
                </c:pt>
                <c:pt idx="47">
                  <c:v>5.1999999999999984</c:v>
                </c:pt>
                <c:pt idx="48">
                  <c:v>5.299999999999998</c:v>
                </c:pt>
                <c:pt idx="49">
                  <c:v>5.3999999999999977</c:v>
                </c:pt>
                <c:pt idx="50">
                  <c:v>5.4999999999999973</c:v>
                </c:pt>
                <c:pt idx="51">
                  <c:v>5.599999999999997</c:v>
                </c:pt>
                <c:pt idx="52">
                  <c:v>5.6999999999999966</c:v>
                </c:pt>
              </c:numCache>
            </c:numRef>
          </c:xVal>
          <c:yVal>
            <c:numRef>
              <c:f>ESPECTRO_NSR10!$D$13:$D$65</c:f>
              <c:numCache>
                <c:formatCode>General</c:formatCode>
                <c:ptCount val="53"/>
                <c:pt idx="0">
                  <c:v>0.32499999999999996</c:v>
                </c:pt>
                <c:pt idx="1">
                  <c:v>0.54166666666666663</c:v>
                </c:pt>
                <c:pt idx="2">
                  <c:v>0.54166666666666663</c:v>
                </c:pt>
                <c:pt idx="3">
                  <c:v>0.47499999999999992</c:v>
                </c:pt>
                <c:pt idx="4">
                  <c:v>0.42222222222222222</c:v>
                </c:pt>
                <c:pt idx="5">
                  <c:v>0.37999999999999995</c:v>
                </c:pt>
                <c:pt idx="6">
                  <c:v>0.3454545454545454</c:v>
                </c:pt>
                <c:pt idx="7">
                  <c:v>0.3166666666666666</c:v>
                </c:pt>
                <c:pt idx="8">
                  <c:v>0.29230769230769221</c:v>
                </c:pt>
                <c:pt idx="9">
                  <c:v>0.27142857142857135</c:v>
                </c:pt>
                <c:pt idx="10">
                  <c:v>0.25333333333333324</c:v>
                </c:pt>
                <c:pt idx="11">
                  <c:v>0.23749999999999991</c:v>
                </c:pt>
                <c:pt idx="12">
                  <c:v>0.22352941176470578</c:v>
                </c:pt>
                <c:pt idx="13">
                  <c:v>0.21111111111111103</c:v>
                </c:pt>
                <c:pt idx="14">
                  <c:v>0.19999999999999987</c:v>
                </c:pt>
                <c:pt idx="15">
                  <c:v>0.18999999999999992</c:v>
                </c:pt>
                <c:pt idx="16">
                  <c:v>0.18095238095238086</c:v>
                </c:pt>
                <c:pt idx="17">
                  <c:v>0.17272727272727262</c:v>
                </c:pt>
                <c:pt idx="18">
                  <c:v>0.16521739130434773</c:v>
                </c:pt>
                <c:pt idx="19">
                  <c:v>0.15833333333333324</c:v>
                </c:pt>
                <c:pt idx="20">
                  <c:v>0.15199999999999991</c:v>
                </c:pt>
                <c:pt idx="21">
                  <c:v>0.14615384615384605</c:v>
                </c:pt>
                <c:pt idx="22">
                  <c:v>0.14074074074074064</c:v>
                </c:pt>
                <c:pt idx="23">
                  <c:v>0.13571428571428562</c:v>
                </c:pt>
                <c:pt idx="24">
                  <c:v>0.13103448275862059</c:v>
                </c:pt>
                <c:pt idx="25">
                  <c:v>0.12666666666666657</c:v>
                </c:pt>
                <c:pt idx="26">
                  <c:v>0.12258064516129025</c:v>
                </c:pt>
                <c:pt idx="27">
                  <c:v>0.11874999999999991</c:v>
                </c:pt>
                <c:pt idx="28">
                  <c:v>0.11515151515151507</c:v>
                </c:pt>
                <c:pt idx="29">
                  <c:v>0.11176470588235286</c:v>
                </c:pt>
                <c:pt idx="30">
                  <c:v>0.10857142857142849</c:v>
                </c:pt>
                <c:pt idx="31">
                  <c:v>0.10555555555555547</c:v>
                </c:pt>
                <c:pt idx="32">
                  <c:v>0.10270270270270264</c:v>
                </c:pt>
                <c:pt idx="33">
                  <c:v>9.9999999999999922E-2</c:v>
                </c:pt>
                <c:pt idx="34">
                  <c:v>9.7435897435897367E-2</c:v>
                </c:pt>
                <c:pt idx="35">
                  <c:v>9.4999999999999932E-2</c:v>
                </c:pt>
                <c:pt idx="36">
                  <c:v>9.2682926829268222E-2</c:v>
                </c:pt>
                <c:pt idx="37">
                  <c:v>9.0476190476190432E-2</c:v>
                </c:pt>
                <c:pt idx="38">
                  <c:v>8.8372093023255771E-2</c:v>
                </c:pt>
                <c:pt idx="39">
                  <c:v>8.6363636363636323E-2</c:v>
                </c:pt>
                <c:pt idx="40">
                  <c:v>8.4444444444444419E-2</c:v>
                </c:pt>
                <c:pt idx="41">
                  <c:v>8.1890359168241944E-2</c:v>
                </c:pt>
                <c:pt idx="42">
                  <c:v>7.844273426889993E-2</c:v>
                </c:pt>
                <c:pt idx="43">
                  <c:v>7.5208333333333335E-2</c:v>
                </c:pt>
                <c:pt idx="44">
                  <c:v>7.216992919616827E-2</c:v>
                </c:pt>
                <c:pt idx="45">
                  <c:v>6.9312000000000012E-2</c:v>
                </c:pt>
                <c:pt idx="46">
                  <c:v>6.6620530565167271E-2</c:v>
                </c:pt>
                <c:pt idx="47">
                  <c:v>6.4082840236686422E-2</c:v>
                </c:pt>
                <c:pt idx="48">
                  <c:v>6.1687433250267043E-2</c:v>
                </c:pt>
                <c:pt idx="49">
                  <c:v>5.9423868312757248E-2</c:v>
                </c:pt>
                <c:pt idx="50">
                  <c:v>5.7282644628099226E-2</c:v>
                </c:pt>
                <c:pt idx="51">
                  <c:v>5.5255102040816378E-2</c:v>
                </c:pt>
                <c:pt idx="52">
                  <c:v>5.3333333333333392E-2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3A-4908-8FE9-601B96CEE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155056"/>
        <c:axId val="262159368"/>
      </c:scatterChart>
      <c:valAx>
        <c:axId val="26215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59368"/>
        <c:crosses val="autoZero"/>
        <c:crossBetween val="midCat"/>
      </c:valAx>
      <c:valAx>
        <c:axId val="262159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55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344" r="0.75000000000000344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baseline="0">
                <a:effectLst/>
              </a:rPr>
              <a:t>ESPECTRO DE SEUDOACELERACIÓN</a:t>
            </a:r>
            <a:endParaRPr lang="es-CO">
              <a:effectLst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Micro_Armenia!$D$1</c:f>
              <c:strCache>
                <c:ptCount val="1"/>
                <c:pt idx="0">
                  <c:v>ESPECTRO - MICROZONIFICACION SÍSMICA DE ARMENIA</c:v>
                </c:pt>
              </c:strCache>
            </c:strRef>
          </c:tx>
          <c:marker>
            <c:symbol val="none"/>
          </c:marker>
          <c:xVal>
            <c:numRef>
              <c:f>Micro_Armenia!$A$14:$A$49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1.2000000000000002</c:v>
                </c:pt>
                <c:pt idx="7">
                  <c:v>1.3000000000000003</c:v>
                </c:pt>
                <c:pt idx="8">
                  <c:v>1.4000000000000004</c:v>
                </c:pt>
                <c:pt idx="9">
                  <c:v>1.5000000000000004</c:v>
                </c:pt>
                <c:pt idx="10">
                  <c:v>1.6000000000000005</c:v>
                </c:pt>
                <c:pt idx="11">
                  <c:v>1.7000000000000006</c:v>
                </c:pt>
                <c:pt idx="12">
                  <c:v>1.8000000000000007</c:v>
                </c:pt>
                <c:pt idx="13">
                  <c:v>1.9000000000000008</c:v>
                </c:pt>
                <c:pt idx="14">
                  <c:v>2.0000000000000009</c:v>
                </c:pt>
                <c:pt idx="15">
                  <c:v>2.100000000000001</c:v>
                </c:pt>
                <c:pt idx="16">
                  <c:v>2.2000000000000011</c:v>
                </c:pt>
                <c:pt idx="17">
                  <c:v>2.3000000000000012</c:v>
                </c:pt>
                <c:pt idx="18">
                  <c:v>2.4000000000000012</c:v>
                </c:pt>
                <c:pt idx="19">
                  <c:v>2.5000000000000013</c:v>
                </c:pt>
                <c:pt idx="20">
                  <c:v>2.6000000000000014</c:v>
                </c:pt>
                <c:pt idx="21">
                  <c:v>2.7000000000000015</c:v>
                </c:pt>
                <c:pt idx="22">
                  <c:v>2.8000000000000016</c:v>
                </c:pt>
                <c:pt idx="23">
                  <c:v>2.9000000000000017</c:v>
                </c:pt>
                <c:pt idx="24">
                  <c:v>3.0000000000000018</c:v>
                </c:pt>
                <c:pt idx="25">
                  <c:v>3.1000000000000019</c:v>
                </c:pt>
                <c:pt idx="26">
                  <c:v>3.200000000000002</c:v>
                </c:pt>
                <c:pt idx="27">
                  <c:v>3.300000000000002</c:v>
                </c:pt>
                <c:pt idx="28">
                  <c:v>3.4000000000000021</c:v>
                </c:pt>
                <c:pt idx="29">
                  <c:v>3.5000000000000022</c:v>
                </c:pt>
                <c:pt idx="30">
                  <c:v>3.6000000000000023</c:v>
                </c:pt>
                <c:pt idx="31">
                  <c:v>3.7000000000000024</c:v>
                </c:pt>
                <c:pt idx="32">
                  <c:v>3.8000000000000025</c:v>
                </c:pt>
                <c:pt idx="33">
                  <c:v>3.9000000000000026</c:v>
                </c:pt>
                <c:pt idx="34">
                  <c:v>4.0000000000000027</c:v>
                </c:pt>
                <c:pt idx="35">
                  <c:v>4.1000000000000023</c:v>
                </c:pt>
              </c:numCache>
            </c:numRef>
          </c:xVal>
          <c:yVal>
            <c:numRef>
              <c:f>Micro_Armenia!$B$14:$B$49</c:f>
              <c:numCache>
                <c:formatCode>General</c:formatCode>
                <c:ptCount val="36"/>
                <c:pt idx="0">
                  <c:v>0.44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0.92408780513809297</c:v>
                </c:pt>
                <c:pt idx="4">
                  <c:v>0.78899999999999992</c:v>
                </c:pt>
                <c:pt idx="5">
                  <c:v>0.68389271174070188</c:v>
                </c:pt>
                <c:pt idx="6">
                  <c:v>0.60021263593274432</c:v>
                </c:pt>
                <c:pt idx="7">
                  <c:v>0.53230675171788133</c:v>
                </c:pt>
                <c:pt idx="8">
                  <c:v>0.47630479070057091</c:v>
                </c:pt>
                <c:pt idx="9">
                  <c:v>0.42947720156798369</c:v>
                </c:pt>
                <c:pt idx="10">
                  <c:v>0.38984954279263273</c:v>
                </c:pt>
                <c:pt idx="11">
                  <c:v>0.35596198600033818</c:v>
                </c:pt>
                <c:pt idx="12">
                  <c:v>0.32671437671246906</c:v>
                </c:pt>
                <c:pt idx="13">
                  <c:v>0.30126355859831516</c:v>
                </c:pt>
                <c:pt idx="14">
                  <c:v>0.2789536251780928</c:v>
                </c:pt>
                <c:pt idx="15">
                  <c:v>0.25926748872434141</c:v>
                </c:pt>
                <c:pt idx="16">
                  <c:v>0.24179258703795345</c:v>
                </c:pt>
                <c:pt idx="17">
                  <c:v>0.22619617109098936</c:v>
                </c:pt>
                <c:pt idx="18">
                  <c:v>0.22</c:v>
                </c:pt>
                <c:pt idx="19">
                  <c:v>0.22</c:v>
                </c:pt>
                <c:pt idx="20">
                  <c:v>0.22</c:v>
                </c:pt>
                <c:pt idx="21">
                  <c:v>0.22</c:v>
                </c:pt>
                <c:pt idx="22">
                  <c:v>0.22</c:v>
                </c:pt>
                <c:pt idx="23">
                  <c:v>0.22</c:v>
                </c:pt>
                <c:pt idx="24">
                  <c:v>0.22</c:v>
                </c:pt>
                <c:pt idx="25">
                  <c:v>0.22</c:v>
                </c:pt>
                <c:pt idx="26">
                  <c:v>0.22</c:v>
                </c:pt>
                <c:pt idx="27">
                  <c:v>0.22</c:v>
                </c:pt>
                <c:pt idx="28">
                  <c:v>0.22</c:v>
                </c:pt>
                <c:pt idx="29">
                  <c:v>0.22</c:v>
                </c:pt>
                <c:pt idx="30">
                  <c:v>0.22</c:v>
                </c:pt>
                <c:pt idx="31">
                  <c:v>0.22</c:v>
                </c:pt>
                <c:pt idx="32">
                  <c:v>0.22</c:v>
                </c:pt>
                <c:pt idx="33">
                  <c:v>0.22</c:v>
                </c:pt>
                <c:pt idx="34">
                  <c:v>0.22</c:v>
                </c:pt>
                <c:pt idx="35">
                  <c:v>0.22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71-414C-8302-291BE5E7B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5136"/>
        <c:axId val="378706312"/>
      </c:scatterChart>
      <c:valAx>
        <c:axId val="378705136"/>
        <c:scaling>
          <c:orientation val="minMax"/>
        </c:scaling>
        <c:delete val="0"/>
        <c:axPos val="b"/>
        <c:majorGridlines/>
        <c:min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78706312"/>
        <c:crosses val="autoZero"/>
        <c:crossBetween val="midCat"/>
      </c:valAx>
      <c:valAx>
        <c:axId val="3787063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78705136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Lucida Sans" pitchFamily="34" charset="0"/>
        </a:defRPr>
      </a:pPr>
      <a:endParaRPr lang="en-US"/>
    </a:p>
  </c:txPr>
  <c:printSettings>
    <c:headerFooter alignWithMargins="0"/>
    <c:pageMargins b="1" l="0.75000000000000366" r="0.75000000000000366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baseline="0">
                <a:effectLst/>
              </a:rPr>
              <a:t>ESPECTRO REDUCIDO DE SEUDOACELERACIÓN</a:t>
            </a:r>
            <a:endParaRPr lang="es-CO">
              <a:effectLst/>
            </a:endParaRP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Micro_Armenia!$D$1</c:f>
              <c:strCache>
                <c:ptCount val="1"/>
                <c:pt idx="0">
                  <c:v>ESPECTRO - MICROZONIFICACION SÍSMICA DE ARMENIA</c:v>
                </c:pt>
              </c:strCache>
            </c:strRef>
          </c:tx>
          <c:marker>
            <c:symbol val="none"/>
          </c:marker>
          <c:xVal>
            <c:numRef>
              <c:f>Micro_Armenia!$A$14:$A$49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1.2000000000000002</c:v>
                </c:pt>
                <c:pt idx="7">
                  <c:v>1.3000000000000003</c:v>
                </c:pt>
                <c:pt idx="8">
                  <c:v>1.4000000000000004</c:v>
                </c:pt>
                <c:pt idx="9">
                  <c:v>1.5000000000000004</c:v>
                </c:pt>
                <c:pt idx="10">
                  <c:v>1.6000000000000005</c:v>
                </c:pt>
                <c:pt idx="11">
                  <c:v>1.7000000000000006</c:v>
                </c:pt>
                <c:pt idx="12">
                  <c:v>1.8000000000000007</c:v>
                </c:pt>
                <c:pt idx="13">
                  <c:v>1.9000000000000008</c:v>
                </c:pt>
                <c:pt idx="14">
                  <c:v>2.0000000000000009</c:v>
                </c:pt>
                <c:pt idx="15">
                  <c:v>2.100000000000001</c:v>
                </c:pt>
                <c:pt idx="16">
                  <c:v>2.2000000000000011</c:v>
                </c:pt>
                <c:pt idx="17">
                  <c:v>2.3000000000000012</c:v>
                </c:pt>
                <c:pt idx="18">
                  <c:v>2.4000000000000012</c:v>
                </c:pt>
                <c:pt idx="19">
                  <c:v>2.5000000000000013</c:v>
                </c:pt>
                <c:pt idx="20">
                  <c:v>2.6000000000000014</c:v>
                </c:pt>
                <c:pt idx="21">
                  <c:v>2.7000000000000015</c:v>
                </c:pt>
                <c:pt idx="22">
                  <c:v>2.8000000000000016</c:v>
                </c:pt>
                <c:pt idx="23">
                  <c:v>2.9000000000000017</c:v>
                </c:pt>
                <c:pt idx="24">
                  <c:v>3.0000000000000018</c:v>
                </c:pt>
                <c:pt idx="25">
                  <c:v>3.1000000000000019</c:v>
                </c:pt>
                <c:pt idx="26">
                  <c:v>3.200000000000002</c:v>
                </c:pt>
                <c:pt idx="27">
                  <c:v>3.300000000000002</c:v>
                </c:pt>
                <c:pt idx="28">
                  <c:v>3.4000000000000021</c:v>
                </c:pt>
                <c:pt idx="29">
                  <c:v>3.5000000000000022</c:v>
                </c:pt>
                <c:pt idx="30">
                  <c:v>3.6000000000000023</c:v>
                </c:pt>
                <c:pt idx="31">
                  <c:v>3.7000000000000024</c:v>
                </c:pt>
                <c:pt idx="32">
                  <c:v>3.8000000000000025</c:v>
                </c:pt>
                <c:pt idx="33">
                  <c:v>3.9000000000000026</c:v>
                </c:pt>
                <c:pt idx="34">
                  <c:v>4.0000000000000027</c:v>
                </c:pt>
                <c:pt idx="35">
                  <c:v>4.1000000000000023</c:v>
                </c:pt>
              </c:numCache>
            </c:numRef>
          </c:xVal>
          <c:yVal>
            <c:numRef>
              <c:f>Micro_Armenia!$D$14:$D$49</c:f>
              <c:numCache>
                <c:formatCode>General</c:formatCode>
                <c:ptCount val="36"/>
                <c:pt idx="0">
                  <c:v>0.44</c:v>
                </c:pt>
                <c:pt idx="1">
                  <c:v>0.73333333333333339</c:v>
                </c:pt>
                <c:pt idx="2">
                  <c:v>0.73333333333333339</c:v>
                </c:pt>
                <c:pt idx="3">
                  <c:v>0.61605853675872868</c:v>
                </c:pt>
                <c:pt idx="4">
                  <c:v>0.52599999999999991</c:v>
                </c:pt>
                <c:pt idx="5">
                  <c:v>0.45592847449380125</c:v>
                </c:pt>
                <c:pt idx="6">
                  <c:v>0.40014175728849621</c:v>
                </c:pt>
                <c:pt idx="7">
                  <c:v>0.35487116781192091</c:v>
                </c:pt>
                <c:pt idx="8">
                  <c:v>0.31753652713371394</c:v>
                </c:pt>
                <c:pt idx="9">
                  <c:v>0.28631813437865578</c:v>
                </c:pt>
                <c:pt idx="10">
                  <c:v>0.25989969519508849</c:v>
                </c:pt>
                <c:pt idx="11">
                  <c:v>0.23730799066689212</c:v>
                </c:pt>
                <c:pt idx="12">
                  <c:v>0.21780958447497936</c:v>
                </c:pt>
                <c:pt idx="13">
                  <c:v>0.20084237239887678</c:v>
                </c:pt>
                <c:pt idx="14">
                  <c:v>0.18596908345206187</c:v>
                </c:pt>
                <c:pt idx="15">
                  <c:v>0.17284499248289428</c:v>
                </c:pt>
                <c:pt idx="16">
                  <c:v>0.16119505802530229</c:v>
                </c:pt>
                <c:pt idx="17">
                  <c:v>0.15079744739399289</c:v>
                </c:pt>
                <c:pt idx="18">
                  <c:v>0.14666666666666667</c:v>
                </c:pt>
                <c:pt idx="19">
                  <c:v>0.14666666666666667</c:v>
                </c:pt>
                <c:pt idx="20">
                  <c:v>0.14666666666666667</c:v>
                </c:pt>
                <c:pt idx="21">
                  <c:v>0.14666666666666667</c:v>
                </c:pt>
                <c:pt idx="22">
                  <c:v>0.14666666666666667</c:v>
                </c:pt>
                <c:pt idx="23">
                  <c:v>0.14666666666666667</c:v>
                </c:pt>
                <c:pt idx="24">
                  <c:v>0.14666666666666667</c:v>
                </c:pt>
                <c:pt idx="25">
                  <c:v>0.14666666666666667</c:v>
                </c:pt>
                <c:pt idx="26">
                  <c:v>0.14666666666666667</c:v>
                </c:pt>
                <c:pt idx="27">
                  <c:v>0.14666666666666667</c:v>
                </c:pt>
                <c:pt idx="28">
                  <c:v>0.14666666666666667</c:v>
                </c:pt>
                <c:pt idx="29">
                  <c:v>0.14666666666666667</c:v>
                </c:pt>
                <c:pt idx="30">
                  <c:v>0.14666666666666667</c:v>
                </c:pt>
                <c:pt idx="31">
                  <c:v>0.14666666666666667</c:v>
                </c:pt>
                <c:pt idx="32">
                  <c:v>0.14666666666666667</c:v>
                </c:pt>
                <c:pt idx="33">
                  <c:v>0.14666666666666667</c:v>
                </c:pt>
                <c:pt idx="34">
                  <c:v>0.14666666666666667</c:v>
                </c:pt>
                <c:pt idx="35">
                  <c:v>0.14666666666666667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3D-4CB4-B77C-EB33BC39D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153880"/>
        <c:axId val="394264008"/>
      </c:scatterChart>
      <c:valAx>
        <c:axId val="262153880"/>
        <c:scaling>
          <c:orientation val="minMax"/>
        </c:scaling>
        <c:delete val="0"/>
        <c:axPos val="b"/>
        <c:majorGridlines/>
        <c:min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94264008"/>
        <c:crosses val="autoZero"/>
        <c:crossBetween val="midCat"/>
      </c:valAx>
      <c:valAx>
        <c:axId val="394264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6215388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Lucida Sans" pitchFamily="34" charset="0"/>
        </a:defRPr>
      </a:pPr>
      <a:endParaRPr lang="en-US"/>
    </a:p>
  </c:txPr>
  <c:printSettings>
    <c:headerFooter alignWithMargins="0"/>
    <c:pageMargins b="1" l="0.75000000000000366" r="0.75000000000000366" t="1" header="0" footer="0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62</xdr:row>
      <xdr:rowOff>57150</xdr:rowOff>
    </xdr:from>
    <xdr:to>
      <xdr:col>14</xdr:col>
      <xdr:colOff>3543300</xdr:colOff>
      <xdr:row>72</xdr:row>
      <xdr:rowOff>38099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7B98F7A-CCF2-4915-A8E9-3FEC9DE4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12801600"/>
          <a:ext cx="5600700" cy="1885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12</xdr:row>
      <xdr:rowOff>47625</xdr:rowOff>
    </xdr:from>
    <xdr:to>
      <xdr:col>8</xdr:col>
      <xdr:colOff>695325</xdr:colOff>
      <xdr:row>31</xdr:row>
      <xdr:rowOff>123825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DBF509E-CD61-48AC-AE9E-77786CDD4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694764</xdr:colOff>
      <xdr:row>18</xdr:row>
      <xdr:rowOff>0</xdr:rowOff>
    </xdr:from>
    <xdr:to>
      <xdr:col>22</xdr:col>
      <xdr:colOff>468643</xdr:colOff>
      <xdr:row>57</xdr:row>
      <xdr:rowOff>90080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BA1A47-FAFB-4C1F-B5BF-3A825FFF8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9714" y="3800475"/>
          <a:ext cx="9737029" cy="71766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84045</xdr:colOff>
      <xdr:row>8</xdr:row>
      <xdr:rowOff>134470</xdr:rowOff>
    </xdr:from>
    <xdr:to>
      <xdr:col>11</xdr:col>
      <xdr:colOff>409576</xdr:colOff>
      <xdr:row>24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477214-889F-49B3-BB7F-42905FF51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84045</xdr:colOff>
      <xdr:row>24</xdr:row>
      <xdr:rowOff>100853</xdr:rowOff>
    </xdr:from>
    <xdr:to>
      <xdr:col>11</xdr:col>
      <xdr:colOff>409576</xdr:colOff>
      <xdr:row>40</xdr:row>
      <xdr:rowOff>90884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3C43BAA9-979F-497C-BEB0-F33F6C487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209550</xdr:colOff>
      <xdr:row>12</xdr:row>
      <xdr:rowOff>9526</xdr:rowOff>
    </xdr:from>
    <xdr:to>
      <xdr:col>11</xdr:col>
      <xdr:colOff>333375</xdr:colOff>
      <xdr:row>25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E0C88AA-ECE8-4FDE-AC7D-4CC8A3021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180975</xdr:colOff>
      <xdr:row>25</xdr:row>
      <xdr:rowOff>19050</xdr:rowOff>
    </xdr:from>
    <xdr:to>
      <xdr:col>11</xdr:col>
      <xdr:colOff>333374</xdr:colOff>
      <xdr:row>39</xdr:row>
      <xdr:rowOff>38100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F26CF8DA-55CB-4414-93C2-FFCB7F16D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15</xdr:col>
      <xdr:colOff>85725</xdr:colOff>
      <xdr:row>12</xdr:row>
      <xdr:rowOff>142875</xdr:rowOff>
    </xdr:from>
    <xdr:to>
      <xdr:col>19</xdr:col>
      <xdr:colOff>9525</xdr:colOff>
      <xdr:row>27</xdr:row>
      <xdr:rowOff>26638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F5763F0-BDEE-4B89-A9E7-6725DA202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15</xdr:col>
      <xdr:colOff>85725</xdr:colOff>
      <xdr:row>27</xdr:row>
      <xdr:rowOff>133350</xdr:rowOff>
    </xdr:from>
    <xdr:to>
      <xdr:col>19</xdr:col>
      <xdr:colOff>9525</xdr:colOff>
      <xdr:row>42</xdr:row>
      <xdr:rowOff>140938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D6F8E807-4FA6-419A-9A07-4038518D1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2</xdr:row>
      <xdr:rowOff>38100</xdr:rowOff>
    </xdr:from>
    <xdr:to>
      <xdr:col>18</xdr:col>
      <xdr:colOff>25214</xdr:colOff>
      <xdr:row>22</xdr:row>
      <xdr:rowOff>52668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859DC7C-BC71-455C-AFFA-9C9D0D9C2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2</xdr:row>
      <xdr:rowOff>38100</xdr:rowOff>
    </xdr:from>
    <xdr:to>
      <xdr:col>18</xdr:col>
      <xdr:colOff>25214</xdr:colOff>
      <xdr:row>22</xdr:row>
      <xdr:rowOff>52668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98C502E-82E1-41C5-8944-B180194E4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2</xdr:row>
      <xdr:rowOff>38100</xdr:rowOff>
    </xdr:from>
    <xdr:to>
      <xdr:col>18</xdr:col>
      <xdr:colOff>25214</xdr:colOff>
      <xdr:row>22</xdr:row>
      <xdr:rowOff>52668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F29FE0C-F278-4DFD-BDC2-3E91402C5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2</xdr:row>
      <xdr:rowOff>38100</xdr:rowOff>
    </xdr:from>
    <xdr:to>
      <xdr:col>18</xdr:col>
      <xdr:colOff>25214</xdr:colOff>
      <xdr:row>22</xdr:row>
      <xdr:rowOff>52668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8318F16-F84F-4ACD-89A2-CD0520457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2</xdr:row>
      <xdr:rowOff>38100</xdr:rowOff>
    </xdr:from>
    <xdr:to>
      <xdr:col>18</xdr:col>
      <xdr:colOff>25214</xdr:colOff>
      <xdr:row>22</xdr:row>
      <xdr:rowOff>52668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F1C69D6-7FC0-4DE5-BE19-732F41952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84045</xdr:colOff>
      <xdr:row>10</xdr:row>
      <xdr:rowOff>134470</xdr:rowOff>
    </xdr:from>
    <xdr:to>
      <xdr:col>11</xdr:col>
      <xdr:colOff>409576</xdr:colOff>
      <xdr:row>26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E93FB8-40CF-4FD5-8102-109318EDC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84045</xdr:colOff>
      <xdr:row>26</xdr:row>
      <xdr:rowOff>100853</xdr:rowOff>
    </xdr:from>
    <xdr:to>
      <xdr:col>11</xdr:col>
      <xdr:colOff>409576</xdr:colOff>
      <xdr:row>42</xdr:row>
      <xdr:rowOff>90884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09AEDE-BFA3-4A5E-89D5-28B69EE83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70036</xdr:colOff>
      <xdr:row>11</xdr:row>
      <xdr:rowOff>175932</xdr:rowOff>
    </xdr:from>
    <xdr:to>
      <xdr:col>8</xdr:col>
      <xdr:colOff>672353</xdr:colOff>
      <xdr:row>28</xdr:row>
      <xdr:rowOff>134471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0D2C5A5-BD36-4655-9862-4733D0501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70036</xdr:colOff>
      <xdr:row>29</xdr:row>
      <xdr:rowOff>7844</xdr:rowOff>
    </xdr:from>
    <xdr:to>
      <xdr:col>8</xdr:col>
      <xdr:colOff>683559</xdr:colOff>
      <xdr:row>46</xdr:row>
      <xdr:rowOff>67237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10E2C2F-B7EC-481C-98E0-AFA5E3492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37</xdr:row>
      <xdr:rowOff>0</xdr:rowOff>
    </xdr:from>
    <xdr:to>
      <xdr:col>27</xdr:col>
      <xdr:colOff>143494</xdr:colOff>
      <xdr:row>62</xdr:row>
      <xdr:rowOff>60026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BCD52A-C0F9-48DB-AD79-C4053DC83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76975" y="7381875"/>
          <a:ext cx="12468844" cy="45939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12</xdr:row>
      <xdr:rowOff>47625</xdr:rowOff>
    </xdr:from>
    <xdr:to>
      <xdr:col>8</xdr:col>
      <xdr:colOff>695325</xdr:colOff>
      <xdr:row>31</xdr:row>
      <xdr:rowOff>123825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143D892-C3A8-4B25-B0DA-816E13862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17</xdr:row>
      <xdr:rowOff>0</xdr:rowOff>
    </xdr:from>
    <xdr:to>
      <xdr:col>25</xdr:col>
      <xdr:colOff>670669</xdr:colOff>
      <xdr:row>57</xdr:row>
      <xdr:rowOff>25102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A8460E-C8C3-4692-959B-8354F1AD9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6950" y="3619500"/>
          <a:ext cx="12024469" cy="72926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2e84fd12940f7637/GTEK/2608-TERREMOTO/2608-TORRE%20HOREB-Christian/ARM-2608-ESPECTRO_NSR10-R04.xlsx" TargetMode="External"/><Relationship Id="rId1" Type="http://schemas.openxmlformats.org/officeDocument/2006/relationships/externalLinkPath" Target="https://d.docs.live.net/2e84fd12940f7637/GTEK/2608-TERREMOTO/2608-TORRE%20HOREB-Christian/ARM-2608-ESPECTRO_NSR10-R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ENIDO"/>
      <sheetName val="INICIO"/>
      <sheetName val="BASE"/>
      <sheetName val="EvCargas PISO"/>
      <sheetName val="EvCargas CUBIERTA"/>
      <sheetName val="EvCargas W -CUB-A"/>
      <sheetName val="EvCargas W -CUB-B"/>
      <sheetName val="CORTANTE BASAL (Y)"/>
      <sheetName val="CORTANTE BASAL (X)"/>
      <sheetName val="2026-PSA-ARMEC"/>
      <sheetName val="2026-PSA-CIRS"/>
      <sheetName val="2026-PSA-FLND"/>
      <sheetName val="2026-PSA-PEREIRA"/>
      <sheetName val="2026-PSA-MAN1C"/>
      <sheetName val="ESPECTRO_NSR10"/>
      <sheetName val="ESPECTRO_CCP2014"/>
      <sheetName val="Micro_Armenia (Y)"/>
      <sheetName val="Micro_Armenia (X)"/>
      <sheetName val="Micro_Bogotá_ESPEC"/>
      <sheetName val="Micro_Pereira"/>
      <sheetName val="Micro_Manizales"/>
      <sheetName val="BD_Municipios"/>
      <sheetName val="DERIVAS"/>
    </sheetNames>
    <sheetDataSet>
      <sheetData sheetId="0"/>
      <sheetData sheetId="1"/>
      <sheetData sheetId="2">
        <row r="175">
          <cell r="A175" t="str">
            <v>Porticos  resistentes a momentos de concreto reforzado</v>
          </cell>
          <cell r="B175">
            <v>4.7E-2</v>
          </cell>
          <cell r="C175">
            <v>0.9</v>
          </cell>
        </row>
        <row r="176">
          <cell r="A176" t="str">
            <v xml:space="preserve">Porticos  resistentes a momentos de acero estructural </v>
          </cell>
          <cell r="B176">
            <v>7.1999999999999995E-2</v>
          </cell>
          <cell r="C176">
            <v>0.8</v>
          </cell>
        </row>
        <row r="177">
          <cell r="A177" t="str">
            <v xml:space="preserve">Pórticos arriostrados de acero estructural </v>
          </cell>
          <cell r="B177">
            <v>7.2999999999999995E-2</v>
          </cell>
          <cell r="C177">
            <v>0.75</v>
          </cell>
        </row>
        <row r="178">
          <cell r="A178" t="str">
            <v>Todos los sistemas estructurales basados en muros de rigidez similar o mayor a la de muros de concreto o mamposteria</v>
          </cell>
          <cell r="B178">
            <v>4.9000000000000002E-2</v>
          </cell>
          <cell r="C178">
            <v>0.75</v>
          </cell>
        </row>
        <row r="179">
          <cell r="A179" t="str">
            <v>Alternativamente, para estructuras que tengan muros estructurales de concreto reforzado o mamposteria estructural, pueden emplearse los siguientes parámetros Ct y a, Donde Cw se calcula utilizando la ecuación A.4.2-4</v>
          </cell>
          <cell r="B179" t="str">
            <v>Calcular Cw</v>
          </cell>
          <cell r="C179">
            <v>1</v>
          </cell>
        </row>
        <row r="180">
          <cell r="A180" t="str">
            <v>Otras (ASCE 7 tabla 12.8-2)</v>
          </cell>
          <cell r="B180">
            <v>0.02</v>
          </cell>
          <cell r="C180">
            <v>0.75</v>
          </cell>
        </row>
      </sheetData>
      <sheetData sheetId="3"/>
      <sheetData sheetId="4"/>
      <sheetData sheetId="5">
        <row r="13">
          <cell r="D13">
            <v>22</v>
          </cell>
        </row>
        <row r="23">
          <cell r="K23">
            <v>11</v>
          </cell>
          <cell r="M23">
            <v>13</v>
          </cell>
        </row>
        <row r="24">
          <cell r="U24" t="str">
            <v>a. Todos los componentes y recubrimientos</v>
          </cell>
          <cell r="AC24">
            <v>1</v>
          </cell>
        </row>
        <row r="25">
          <cell r="U25" t="str">
            <v>b. Sistema Principal Resistente a Cargas de Viento en edificios bajos diseñados usando la Fig. B.6.5-7</v>
          </cell>
          <cell r="AC25">
            <v>1</v>
          </cell>
        </row>
        <row r="26">
          <cell r="U26" t="str">
            <v>c. Todos los Sistemas Principales Resistentes a Cargas de Viento de los edificios excepto aquellos de los edificios bajos diseñados usando la Fig. B.6.5-7</v>
          </cell>
          <cell r="AC26">
            <v>2</v>
          </cell>
        </row>
        <row r="27">
          <cell r="U27" t="str">
            <v>d. Todos los Sistemas Principales Resistentes a Cargas de Viento en otras estructuras.</v>
          </cell>
          <cell r="AC27">
            <v>2</v>
          </cell>
        </row>
      </sheetData>
      <sheetData sheetId="6"/>
      <sheetData sheetId="7">
        <row r="6">
          <cell r="B6">
            <v>1.5</v>
          </cell>
        </row>
        <row r="13">
          <cell r="B13">
            <v>0.13952055149611803</v>
          </cell>
        </row>
        <row r="14">
          <cell r="R14">
            <v>0</v>
          </cell>
        </row>
        <row r="19">
          <cell r="R19">
            <v>0.16742466179534163</v>
          </cell>
        </row>
      </sheetData>
      <sheetData sheetId="8">
        <row r="13">
          <cell r="B13">
            <v>0.13952055149611803</v>
          </cell>
        </row>
        <row r="19">
          <cell r="R19" t="e">
            <v>#DIV/0!</v>
          </cell>
        </row>
      </sheetData>
      <sheetData sheetId="9">
        <row r="2">
          <cell r="E2" t="str">
            <v>Sismo2026-ARMEC - EW (%g)</v>
          </cell>
          <cell r="F2" t="str">
            <v>Sismo2026-ARMEC - NS (%g)</v>
          </cell>
          <cell r="G2" t="str">
            <v>Sismo2026-ARMEC - Vert (%g)</v>
          </cell>
        </row>
        <row r="3">
          <cell r="A3">
            <v>0.01</v>
          </cell>
          <cell r="E3">
            <v>0.2039</v>
          </cell>
          <cell r="F3">
            <v>0.22939999999999999</v>
          </cell>
          <cell r="G3">
            <v>8.1600000000000006E-2</v>
          </cell>
        </row>
        <row r="4">
          <cell r="A4">
            <v>1.2E-2</v>
          </cell>
          <cell r="E4">
            <v>0.1988</v>
          </cell>
          <cell r="F4">
            <v>0.22939999999999999</v>
          </cell>
          <cell r="G4">
            <v>8.3599999999999994E-2</v>
          </cell>
        </row>
        <row r="5">
          <cell r="A5">
            <v>1.4999999999999999E-2</v>
          </cell>
          <cell r="E5">
            <v>0.2039</v>
          </cell>
          <cell r="F5">
            <v>0.22639999999999999</v>
          </cell>
          <cell r="G5">
            <v>8.3599999999999994E-2</v>
          </cell>
        </row>
        <row r="6">
          <cell r="A6">
            <v>1.7999999999999999E-2</v>
          </cell>
          <cell r="E6">
            <v>0.21210000000000001</v>
          </cell>
          <cell r="F6">
            <v>0.22939999999999999</v>
          </cell>
          <cell r="G6">
            <v>8.2600000000000007E-2</v>
          </cell>
        </row>
        <row r="7">
          <cell r="A7">
            <v>0.02</v>
          </cell>
          <cell r="E7">
            <v>0.21010000000000001</v>
          </cell>
          <cell r="F7">
            <v>0.22939999999999999</v>
          </cell>
          <cell r="G7">
            <v>8.6699999999999999E-2</v>
          </cell>
        </row>
        <row r="8">
          <cell r="A8">
            <v>2.5000000000000001E-2</v>
          </cell>
          <cell r="E8">
            <v>0.21210000000000001</v>
          </cell>
          <cell r="F8">
            <v>0.22739999999999999</v>
          </cell>
          <cell r="G8">
            <v>9.0800000000000006E-2</v>
          </cell>
        </row>
        <row r="9">
          <cell r="A9">
            <v>0.03</v>
          </cell>
          <cell r="E9">
            <v>0.21210000000000001</v>
          </cell>
          <cell r="F9">
            <v>0.22639999999999999</v>
          </cell>
          <cell r="G9">
            <v>8.9700000000000002E-2</v>
          </cell>
        </row>
        <row r="10">
          <cell r="A10">
            <v>3.5000000000000003E-2</v>
          </cell>
          <cell r="E10">
            <v>0.1988</v>
          </cell>
          <cell r="F10">
            <v>0.23250000000000001</v>
          </cell>
          <cell r="G10">
            <v>9.4799999999999995E-2</v>
          </cell>
        </row>
        <row r="11">
          <cell r="A11">
            <v>0.04</v>
          </cell>
          <cell r="E11">
            <v>0.2009</v>
          </cell>
          <cell r="F11">
            <v>0.2366</v>
          </cell>
          <cell r="G11">
            <v>0.10199999999999999</v>
          </cell>
        </row>
        <row r="12">
          <cell r="A12">
            <v>4.4999999999999998E-2</v>
          </cell>
          <cell r="E12">
            <v>0.21210000000000001</v>
          </cell>
          <cell r="F12">
            <v>0.2427</v>
          </cell>
          <cell r="G12">
            <v>0.12239999999999999</v>
          </cell>
        </row>
        <row r="13">
          <cell r="A13">
            <v>0.05</v>
          </cell>
          <cell r="E13">
            <v>0.21210000000000001</v>
          </cell>
          <cell r="F13">
            <v>0.23860000000000001</v>
          </cell>
          <cell r="G13">
            <v>0.16320000000000001</v>
          </cell>
        </row>
        <row r="14">
          <cell r="A14">
            <v>5.5E-2</v>
          </cell>
          <cell r="E14">
            <v>0.20899999999999999</v>
          </cell>
          <cell r="F14">
            <v>0.2427</v>
          </cell>
          <cell r="G14">
            <v>0.21410000000000001</v>
          </cell>
        </row>
        <row r="15">
          <cell r="A15">
            <v>0.06</v>
          </cell>
          <cell r="E15">
            <v>0.21920000000000001</v>
          </cell>
          <cell r="F15">
            <v>0.25490000000000002</v>
          </cell>
          <cell r="G15">
            <v>0.23449999999999999</v>
          </cell>
        </row>
        <row r="16">
          <cell r="A16">
            <v>6.5000000000000002E-2</v>
          </cell>
          <cell r="E16">
            <v>0.2162</v>
          </cell>
          <cell r="F16">
            <v>0.2447</v>
          </cell>
          <cell r="G16">
            <v>0.30590000000000001</v>
          </cell>
        </row>
        <row r="17">
          <cell r="A17">
            <v>7.0000000000000007E-2</v>
          </cell>
          <cell r="E17">
            <v>0.2243</v>
          </cell>
          <cell r="F17">
            <v>0.2447</v>
          </cell>
          <cell r="G17">
            <v>0.28549999999999998</v>
          </cell>
        </row>
        <row r="18">
          <cell r="A18">
            <v>7.4999999999999997E-2</v>
          </cell>
          <cell r="E18">
            <v>0.23449999999999999</v>
          </cell>
          <cell r="F18">
            <v>0.2651</v>
          </cell>
          <cell r="G18">
            <v>0.2039</v>
          </cell>
        </row>
        <row r="19">
          <cell r="A19">
            <v>0.08</v>
          </cell>
          <cell r="E19">
            <v>0.2447</v>
          </cell>
          <cell r="F19">
            <v>0.2702</v>
          </cell>
          <cell r="G19">
            <v>0.23960000000000001</v>
          </cell>
        </row>
        <row r="20">
          <cell r="A20">
            <v>8.5000000000000006E-2</v>
          </cell>
          <cell r="E20">
            <v>0.24979999999999999</v>
          </cell>
          <cell r="F20">
            <v>0.2702</v>
          </cell>
          <cell r="G20">
            <v>0.24979999999999999</v>
          </cell>
        </row>
        <row r="21">
          <cell r="A21">
            <v>0.09</v>
          </cell>
          <cell r="E21">
            <v>0.25490000000000002</v>
          </cell>
          <cell r="F21">
            <v>0.27529999999999999</v>
          </cell>
          <cell r="G21">
            <v>0.2039</v>
          </cell>
        </row>
        <row r="22">
          <cell r="A22">
            <v>9.5000000000000001E-2</v>
          </cell>
          <cell r="E22">
            <v>0.25490000000000002</v>
          </cell>
          <cell r="F22">
            <v>0.27529999999999999</v>
          </cell>
          <cell r="G22">
            <v>0.1835</v>
          </cell>
        </row>
        <row r="23">
          <cell r="A23">
            <v>0.1</v>
          </cell>
          <cell r="E23">
            <v>0.30590000000000001</v>
          </cell>
          <cell r="F23">
            <v>0.32629999999999998</v>
          </cell>
          <cell r="G23">
            <v>0.15809999999999999</v>
          </cell>
        </row>
        <row r="24">
          <cell r="A24">
            <v>0.105</v>
          </cell>
          <cell r="E24">
            <v>0.34160000000000001</v>
          </cell>
          <cell r="F24">
            <v>0.40789999999999998</v>
          </cell>
          <cell r="G24">
            <v>0.17330000000000001</v>
          </cell>
        </row>
        <row r="25">
          <cell r="A25">
            <v>0.11</v>
          </cell>
          <cell r="E25">
            <v>0.36709999999999998</v>
          </cell>
          <cell r="F25">
            <v>0.48949999999999999</v>
          </cell>
          <cell r="G25">
            <v>0.19370000000000001</v>
          </cell>
        </row>
        <row r="26">
          <cell r="A26">
            <v>0.115</v>
          </cell>
          <cell r="E26">
            <v>0.3926</v>
          </cell>
          <cell r="F26">
            <v>0.59140000000000004</v>
          </cell>
          <cell r="G26">
            <v>0.20699999999999999</v>
          </cell>
        </row>
        <row r="27">
          <cell r="A27">
            <v>0.12</v>
          </cell>
          <cell r="E27">
            <v>0.40279999999999999</v>
          </cell>
          <cell r="F27">
            <v>0.60980000000000001</v>
          </cell>
          <cell r="G27">
            <v>0.1988</v>
          </cell>
        </row>
        <row r="28">
          <cell r="A28">
            <v>0.125</v>
          </cell>
          <cell r="E28">
            <v>0.43340000000000001</v>
          </cell>
          <cell r="F28">
            <v>0.53029999999999999</v>
          </cell>
          <cell r="G28">
            <v>0.1835</v>
          </cell>
        </row>
        <row r="29">
          <cell r="A29">
            <v>0.13</v>
          </cell>
          <cell r="E29">
            <v>0.4844</v>
          </cell>
          <cell r="F29">
            <v>0.45889999999999997</v>
          </cell>
          <cell r="G29">
            <v>0.1784</v>
          </cell>
        </row>
        <row r="30">
          <cell r="A30">
            <v>0.13500000000000001</v>
          </cell>
          <cell r="E30">
            <v>0.48949999999999999</v>
          </cell>
          <cell r="F30">
            <v>0.49969999999999998</v>
          </cell>
          <cell r="G30">
            <v>0.17330000000000001</v>
          </cell>
        </row>
        <row r="31">
          <cell r="A31">
            <v>0.14000000000000001</v>
          </cell>
          <cell r="E31">
            <v>0.50480000000000003</v>
          </cell>
          <cell r="F31">
            <v>0.54039999999999999</v>
          </cell>
          <cell r="G31">
            <v>0.16520000000000001</v>
          </cell>
        </row>
        <row r="32">
          <cell r="A32">
            <v>0.14499999999999999</v>
          </cell>
          <cell r="E32">
            <v>0.49969999999999998</v>
          </cell>
          <cell r="F32">
            <v>0.53839999999999999</v>
          </cell>
          <cell r="G32">
            <v>0.2039</v>
          </cell>
        </row>
        <row r="33">
          <cell r="A33">
            <v>0.15</v>
          </cell>
          <cell r="E33">
            <v>0.50990000000000002</v>
          </cell>
          <cell r="F33">
            <v>0.5282</v>
          </cell>
          <cell r="G33">
            <v>0.22639999999999999</v>
          </cell>
        </row>
        <row r="34">
          <cell r="A34">
            <v>0.16</v>
          </cell>
          <cell r="E34">
            <v>0.48949999999999999</v>
          </cell>
          <cell r="F34">
            <v>0.48949999999999999</v>
          </cell>
          <cell r="G34">
            <v>0.21410000000000001</v>
          </cell>
        </row>
        <row r="35">
          <cell r="A35">
            <v>0.17</v>
          </cell>
          <cell r="E35">
            <v>0.52010000000000001</v>
          </cell>
          <cell r="F35">
            <v>0.50990000000000002</v>
          </cell>
          <cell r="G35">
            <v>0.18859999999999999</v>
          </cell>
        </row>
        <row r="36">
          <cell r="A36">
            <v>0.18</v>
          </cell>
          <cell r="E36">
            <v>0.50990000000000002</v>
          </cell>
          <cell r="F36">
            <v>0.61180000000000001</v>
          </cell>
          <cell r="G36">
            <v>0.1988</v>
          </cell>
        </row>
        <row r="37">
          <cell r="A37">
            <v>0.19</v>
          </cell>
          <cell r="E37">
            <v>0.54549999999999998</v>
          </cell>
          <cell r="F37">
            <v>0.7056</v>
          </cell>
          <cell r="G37">
            <v>0.21920000000000001</v>
          </cell>
        </row>
        <row r="38">
          <cell r="A38">
            <v>0.2</v>
          </cell>
          <cell r="E38">
            <v>0.50990000000000002</v>
          </cell>
          <cell r="F38">
            <v>0.64239999999999997</v>
          </cell>
          <cell r="G38">
            <v>0.2651</v>
          </cell>
        </row>
        <row r="39">
          <cell r="A39">
            <v>0.21</v>
          </cell>
          <cell r="E39">
            <v>0.5252</v>
          </cell>
          <cell r="F39">
            <v>0.65569999999999995</v>
          </cell>
          <cell r="G39">
            <v>0.28039999999999998</v>
          </cell>
        </row>
        <row r="40">
          <cell r="A40">
            <v>0.22</v>
          </cell>
          <cell r="E40">
            <v>0.48949999999999999</v>
          </cell>
          <cell r="F40">
            <v>0.58120000000000005</v>
          </cell>
          <cell r="G40">
            <v>0.29060000000000002</v>
          </cell>
        </row>
        <row r="41">
          <cell r="A41">
            <v>0.23</v>
          </cell>
          <cell r="E41">
            <v>0.40789999999999998</v>
          </cell>
          <cell r="F41">
            <v>0.52010000000000001</v>
          </cell>
          <cell r="G41">
            <v>0.29570000000000002</v>
          </cell>
        </row>
        <row r="42">
          <cell r="A42">
            <v>0.24</v>
          </cell>
          <cell r="E42">
            <v>0.3569</v>
          </cell>
          <cell r="F42">
            <v>0.43340000000000001</v>
          </cell>
          <cell r="G42">
            <v>0.28349999999999997</v>
          </cell>
        </row>
        <row r="43">
          <cell r="A43">
            <v>0.25</v>
          </cell>
          <cell r="E43">
            <v>0.30590000000000001</v>
          </cell>
          <cell r="F43">
            <v>0.42830000000000001</v>
          </cell>
          <cell r="G43">
            <v>0.21410000000000001</v>
          </cell>
        </row>
        <row r="44">
          <cell r="A44">
            <v>0.27</v>
          </cell>
          <cell r="E44">
            <v>0.29060000000000002</v>
          </cell>
          <cell r="F44">
            <v>0.40989999999999999</v>
          </cell>
          <cell r="G44">
            <v>0.19370000000000001</v>
          </cell>
        </row>
        <row r="45">
          <cell r="A45">
            <v>0.28999999999999998</v>
          </cell>
          <cell r="E45">
            <v>0.38750000000000001</v>
          </cell>
          <cell r="F45">
            <v>0.53029999999999999</v>
          </cell>
          <cell r="G45">
            <v>0.16109999999999999</v>
          </cell>
        </row>
        <row r="46">
          <cell r="A46">
            <v>0.31</v>
          </cell>
          <cell r="E46">
            <v>0.46400000000000002</v>
          </cell>
          <cell r="F46">
            <v>0.78520000000000001</v>
          </cell>
          <cell r="G46">
            <v>0.17330000000000001</v>
          </cell>
        </row>
        <row r="47">
          <cell r="A47">
            <v>0.32</v>
          </cell>
          <cell r="E47">
            <v>0.40789999999999998</v>
          </cell>
          <cell r="F47">
            <v>0.81069999999999998</v>
          </cell>
          <cell r="G47">
            <v>0.18149999999999999</v>
          </cell>
        </row>
        <row r="48">
          <cell r="A48">
            <v>0.34</v>
          </cell>
          <cell r="E48">
            <v>0.32119999999999999</v>
          </cell>
          <cell r="F48">
            <v>0.52010000000000001</v>
          </cell>
          <cell r="G48">
            <v>0.16109999999999999</v>
          </cell>
        </row>
        <row r="49">
          <cell r="A49">
            <v>0.36</v>
          </cell>
          <cell r="E49">
            <v>0.3569</v>
          </cell>
          <cell r="F49">
            <v>0.3589</v>
          </cell>
          <cell r="G49">
            <v>0.1346</v>
          </cell>
        </row>
        <row r="50">
          <cell r="A50">
            <v>0.38</v>
          </cell>
          <cell r="E50">
            <v>0.48949999999999999</v>
          </cell>
          <cell r="F50">
            <v>0.41810000000000003</v>
          </cell>
          <cell r="G50">
            <v>0.1081</v>
          </cell>
        </row>
        <row r="51">
          <cell r="A51">
            <v>0.4</v>
          </cell>
          <cell r="E51">
            <v>0.45889999999999997</v>
          </cell>
          <cell r="F51">
            <v>0.4793</v>
          </cell>
          <cell r="G51">
            <v>0.1071</v>
          </cell>
        </row>
        <row r="52">
          <cell r="A52">
            <v>0.43</v>
          </cell>
          <cell r="E52">
            <v>0.59140000000000004</v>
          </cell>
          <cell r="F52">
            <v>0.622</v>
          </cell>
          <cell r="G52">
            <v>0.11219999999999999</v>
          </cell>
        </row>
        <row r="53">
          <cell r="A53">
            <v>0.46</v>
          </cell>
          <cell r="E53">
            <v>0.64239999999999997</v>
          </cell>
          <cell r="F53">
            <v>0.68320000000000003</v>
          </cell>
          <cell r="G53">
            <v>0.1275</v>
          </cell>
        </row>
        <row r="54">
          <cell r="A54">
            <v>0.48</v>
          </cell>
          <cell r="E54">
            <v>0.66790000000000005</v>
          </cell>
          <cell r="F54">
            <v>0.69850000000000001</v>
          </cell>
          <cell r="G54">
            <v>0.1275</v>
          </cell>
        </row>
        <row r="55">
          <cell r="A55">
            <v>0.5</v>
          </cell>
          <cell r="E55">
            <v>0.72399999999999998</v>
          </cell>
          <cell r="F55">
            <v>0.7954</v>
          </cell>
          <cell r="G55">
            <v>0.1326</v>
          </cell>
        </row>
        <row r="56">
          <cell r="A56">
            <v>0.52</v>
          </cell>
          <cell r="E56">
            <v>0.84640000000000004</v>
          </cell>
          <cell r="F56">
            <v>0.90759999999999996</v>
          </cell>
          <cell r="G56">
            <v>0.1479</v>
          </cell>
        </row>
        <row r="57">
          <cell r="A57">
            <v>0.55000000000000004</v>
          </cell>
          <cell r="E57">
            <v>0.69340000000000002</v>
          </cell>
          <cell r="F57">
            <v>0.80559999999999998</v>
          </cell>
          <cell r="G57">
            <v>0.12239999999999999</v>
          </cell>
        </row>
        <row r="58">
          <cell r="A58">
            <v>0.6</v>
          </cell>
          <cell r="E58">
            <v>0.50990000000000002</v>
          </cell>
          <cell r="F58">
            <v>0.61180000000000001</v>
          </cell>
          <cell r="G58">
            <v>0.1173</v>
          </cell>
        </row>
        <row r="59">
          <cell r="A59">
            <v>0.65</v>
          </cell>
          <cell r="E59">
            <v>0.30080000000000001</v>
          </cell>
          <cell r="F59">
            <v>0.36709999999999998</v>
          </cell>
          <cell r="G59">
            <v>0.1173</v>
          </cell>
        </row>
        <row r="60">
          <cell r="A60">
            <v>0.7</v>
          </cell>
          <cell r="E60">
            <v>0.30590000000000001</v>
          </cell>
          <cell r="F60">
            <v>0.31609999999999999</v>
          </cell>
          <cell r="G60">
            <v>0.10199999999999999</v>
          </cell>
        </row>
        <row r="61">
          <cell r="A61">
            <v>0.75</v>
          </cell>
          <cell r="E61">
            <v>0.28039999999999998</v>
          </cell>
          <cell r="F61">
            <v>0.28039999999999998</v>
          </cell>
          <cell r="G61">
            <v>0.10199999999999999</v>
          </cell>
        </row>
        <row r="62">
          <cell r="A62">
            <v>0.8</v>
          </cell>
          <cell r="E62">
            <v>0.2039</v>
          </cell>
          <cell r="F62">
            <v>0.22939999999999999</v>
          </cell>
          <cell r="G62">
            <v>0.12239999999999999</v>
          </cell>
        </row>
        <row r="63">
          <cell r="A63">
            <v>0.85</v>
          </cell>
          <cell r="E63">
            <v>0.17330000000000001</v>
          </cell>
          <cell r="F63">
            <v>0.17330000000000001</v>
          </cell>
          <cell r="G63">
            <v>0.11219999999999999</v>
          </cell>
        </row>
        <row r="64">
          <cell r="A64">
            <v>0.9</v>
          </cell>
          <cell r="E64">
            <v>0.14069999999999999</v>
          </cell>
          <cell r="F64">
            <v>0.19070000000000001</v>
          </cell>
          <cell r="G64">
            <v>8.3599999999999994E-2</v>
          </cell>
        </row>
        <row r="65">
          <cell r="A65">
            <v>0.95</v>
          </cell>
          <cell r="E65">
            <v>0.1173</v>
          </cell>
          <cell r="F65">
            <v>0.16819999999999999</v>
          </cell>
          <cell r="G65">
            <v>7.1400000000000005E-2</v>
          </cell>
        </row>
        <row r="66">
          <cell r="A66">
            <v>1</v>
          </cell>
          <cell r="E66">
            <v>0.10199999999999999</v>
          </cell>
          <cell r="F66">
            <v>0.1784</v>
          </cell>
          <cell r="G66">
            <v>6.1199999999999997E-2</v>
          </cell>
        </row>
        <row r="67">
          <cell r="A67">
            <v>1.1000000000000001</v>
          </cell>
          <cell r="E67">
            <v>9.9900000000000003E-2</v>
          </cell>
          <cell r="F67">
            <v>0.14069999999999999</v>
          </cell>
          <cell r="G67">
            <v>4.2799999999999998E-2</v>
          </cell>
        </row>
        <row r="68">
          <cell r="A68">
            <v>1.2</v>
          </cell>
          <cell r="E68">
            <v>9.9900000000000003E-2</v>
          </cell>
          <cell r="F68">
            <v>0.156</v>
          </cell>
          <cell r="G68">
            <v>3.5700000000000003E-2</v>
          </cell>
        </row>
        <row r="69">
          <cell r="A69">
            <v>1.3</v>
          </cell>
          <cell r="E69">
            <v>7.9500000000000001E-2</v>
          </cell>
          <cell r="F69">
            <v>0.1173</v>
          </cell>
          <cell r="G69">
            <v>3.6700000000000003E-2</v>
          </cell>
        </row>
        <row r="70">
          <cell r="A70">
            <v>1.4</v>
          </cell>
          <cell r="E70">
            <v>8.9700000000000002E-2</v>
          </cell>
          <cell r="F70">
            <v>0.1071</v>
          </cell>
          <cell r="G70">
            <v>3.3599999999999998E-2</v>
          </cell>
        </row>
        <row r="71">
          <cell r="A71">
            <v>1.5</v>
          </cell>
          <cell r="E71">
            <v>7.7499999999999999E-2</v>
          </cell>
          <cell r="F71">
            <v>0.13769999999999999</v>
          </cell>
          <cell r="G71">
            <v>3.6700000000000003E-2</v>
          </cell>
        </row>
        <row r="72">
          <cell r="A72">
            <v>1.6</v>
          </cell>
          <cell r="E72">
            <v>8.6699999999999999E-2</v>
          </cell>
          <cell r="F72">
            <v>8.1600000000000006E-2</v>
          </cell>
          <cell r="G72">
            <v>1.84E-2</v>
          </cell>
        </row>
        <row r="73">
          <cell r="A73">
            <v>1.7</v>
          </cell>
          <cell r="E73">
            <v>6.3200000000000006E-2</v>
          </cell>
          <cell r="F73">
            <v>8.3599999999999994E-2</v>
          </cell>
          <cell r="G73">
            <v>1.9400000000000001E-2</v>
          </cell>
        </row>
        <row r="74">
          <cell r="A74">
            <v>1.8</v>
          </cell>
          <cell r="E74">
            <v>8.3599999999999994E-2</v>
          </cell>
          <cell r="F74">
            <v>8.3599999999999994E-2</v>
          </cell>
          <cell r="G74">
            <v>1.84E-2</v>
          </cell>
        </row>
        <row r="75">
          <cell r="A75">
            <v>1.9</v>
          </cell>
          <cell r="E75">
            <v>5.0999999999999997E-2</v>
          </cell>
          <cell r="F75">
            <v>4.8899999999999999E-2</v>
          </cell>
          <cell r="G75">
            <v>1.43E-2</v>
          </cell>
        </row>
        <row r="76">
          <cell r="A76">
            <v>2</v>
          </cell>
          <cell r="E76">
            <v>6.3200000000000006E-2</v>
          </cell>
          <cell r="F76">
            <v>5.0999999999999997E-2</v>
          </cell>
          <cell r="G76">
            <v>1.5299999999999999E-2</v>
          </cell>
        </row>
        <row r="77">
          <cell r="A77">
            <v>2.2000000000000002</v>
          </cell>
          <cell r="E77">
            <v>4.8899999999999999E-2</v>
          </cell>
          <cell r="F77">
            <v>4.8899999999999999E-2</v>
          </cell>
          <cell r="G77">
            <v>1.5299999999999999E-2</v>
          </cell>
        </row>
        <row r="78">
          <cell r="A78">
            <v>2.5</v>
          </cell>
          <cell r="E78">
            <v>2.5499999999999998E-2</v>
          </cell>
          <cell r="F78">
            <v>3.2599999999999997E-2</v>
          </cell>
          <cell r="G78">
            <v>9.1999999999999998E-3</v>
          </cell>
        </row>
        <row r="79">
          <cell r="A79">
            <v>2.8</v>
          </cell>
          <cell r="E79">
            <v>2.86E-2</v>
          </cell>
          <cell r="F79">
            <v>1.84E-2</v>
          </cell>
          <cell r="G79">
            <v>1.0200000000000001E-2</v>
          </cell>
        </row>
        <row r="80">
          <cell r="A80">
            <v>3</v>
          </cell>
          <cell r="E80">
            <v>2.0400000000000001E-2</v>
          </cell>
          <cell r="F80">
            <v>1.43E-2</v>
          </cell>
          <cell r="G80">
            <v>1.0200000000000001E-2</v>
          </cell>
        </row>
        <row r="81">
          <cell r="A81">
            <v>3.5</v>
          </cell>
          <cell r="E81">
            <v>1.3299999999999999E-2</v>
          </cell>
          <cell r="F81">
            <v>1.0200000000000001E-2</v>
          </cell>
          <cell r="G81">
            <v>5.1000000000000004E-3</v>
          </cell>
        </row>
        <row r="82">
          <cell r="A82">
            <v>4</v>
          </cell>
          <cell r="E82">
            <v>1.3299999999999999E-2</v>
          </cell>
          <cell r="F82">
            <v>5.1000000000000004E-3</v>
          </cell>
          <cell r="G82">
            <v>3.0999999999999999E-3</v>
          </cell>
        </row>
        <row r="83">
          <cell r="A83">
            <v>4.5</v>
          </cell>
          <cell r="E83">
            <v>6.1000000000000004E-3</v>
          </cell>
          <cell r="F83">
            <v>5.1000000000000004E-3</v>
          </cell>
          <cell r="G83">
            <v>2E-3</v>
          </cell>
        </row>
        <row r="84">
          <cell r="A84">
            <v>5</v>
          </cell>
          <cell r="E84">
            <v>5.1000000000000004E-3</v>
          </cell>
          <cell r="F84">
            <v>5.1000000000000004E-3</v>
          </cell>
          <cell r="G84">
            <v>2E-3</v>
          </cell>
        </row>
      </sheetData>
      <sheetData sheetId="10">
        <row r="2">
          <cell r="E2" t="str">
            <v>Sismo2026-CIRS - EW (%g)</v>
          </cell>
          <cell r="F2" t="str">
            <v>Sismo2026-CIRS - NS (%g)</v>
          </cell>
          <cell r="G2" t="str">
            <v>Sismo2026-CIRS - Vert (%g)</v>
          </cell>
        </row>
        <row r="3">
          <cell r="A3">
            <v>0.01</v>
          </cell>
          <cell r="E3">
            <v>0.28349999999999997</v>
          </cell>
          <cell r="F3">
            <v>0.3957</v>
          </cell>
          <cell r="G3">
            <v>9.2799999999999994E-2</v>
          </cell>
        </row>
        <row r="4">
          <cell r="A4">
            <v>1.2E-2</v>
          </cell>
          <cell r="E4">
            <v>0.28139999999999998</v>
          </cell>
          <cell r="F4">
            <v>0.3967</v>
          </cell>
          <cell r="G4">
            <v>9.2799999999999994E-2</v>
          </cell>
        </row>
        <row r="5">
          <cell r="A5">
            <v>1.4E-2</v>
          </cell>
          <cell r="E5">
            <v>0.28249999999999997</v>
          </cell>
          <cell r="F5">
            <v>0.3977</v>
          </cell>
          <cell r="G5">
            <v>9.3799999999999994E-2</v>
          </cell>
        </row>
        <row r="6">
          <cell r="A6">
            <v>1.6E-2</v>
          </cell>
          <cell r="E6">
            <v>0.28349999999999997</v>
          </cell>
          <cell r="F6">
            <v>0.3997</v>
          </cell>
          <cell r="G6">
            <v>9.4799999999999995E-2</v>
          </cell>
        </row>
        <row r="7">
          <cell r="A7">
            <v>1.7999999999999999E-2</v>
          </cell>
          <cell r="E7">
            <v>0.28249999999999997</v>
          </cell>
          <cell r="F7">
            <v>0.3957</v>
          </cell>
          <cell r="G7">
            <v>9.7900000000000001E-2</v>
          </cell>
        </row>
        <row r="8">
          <cell r="A8">
            <v>0.02</v>
          </cell>
          <cell r="E8">
            <v>0.28039999999999998</v>
          </cell>
          <cell r="F8">
            <v>0.3967</v>
          </cell>
          <cell r="G8">
            <v>9.5899999999999999E-2</v>
          </cell>
        </row>
        <row r="9">
          <cell r="A9">
            <v>2.1999999999999999E-2</v>
          </cell>
          <cell r="E9">
            <v>0.28549999999999998</v>
          </cell>
          <cell r="F9">
            <v>0.3987</v>
          </cell>
          <cell r="G9">
            <v>9.5899999999999999E-2</v>
          </cell>
        </row>
        <row r="10">
          <cell r="A10">
            <v>2.5000000000000001E-2</v>
          </cell>
          <cell r="E10">
            <v>0.28649999999999998</v>
          </cell>
          <cell r="F10">
            <v>0.3977</v>
          </cell>
          <cell r="G10">
            <v>9.5899999999999999E-2</v>
          </cell>
        </row>
        <row r="11">
          <cell r="A11">
            <v>2.8000000000000001E-2</v>
          </cell>
          <cell r="E11">
            <v>0.28649999999999998</v>
          </cell>
          <cell r="F11">
            <v>0.3967</v>
          </cell>
          <cell r="G11">
            <v>9.4799999999999995E-2</v>
          </cell>
        </row>
        <row r="12">
          <cell r="A12">
            <v>0.03</v>
          </cell>
          <cell r="E12">
            <v>0.28760000000000002</v>
          </cell>
          <cell r="F12">
            <v>0.3957</v>
          </cell>
          <cell r="G12">
            <v>9.8900000000000002E-2</v>
          </cell>
        </row>
        <row r="13">
          <cell r="A13">
            <v>3.5000000000000003E-2</v>
          </cell>
          <cell r="E13">
            <v>0.29370000000000002</v>
          </cell>
          <cell r="F13">
            <v>0.40279999999999999</v>
          </cell>
          <cell r="G13">
            <v>0.104</v>
          </cell>
        </row>
        <row r="14">
          <cell r="A14">
            <v>0.04</v>
          </cell>
          <cell r="E14">
            <v>0.29780000000000001</v>
          </cell>
          <cell r="F14">
            <v>0.40579999999999999</v>
          </cell>
          <cell r="G14">
            <v>0.1162</v>
          </cell>
        </row>
        <row r="15">
          <cell r="A15">
            <v>4.4999999999999998E-2</v>
          </cell>
          <cell r="E15">
            <v>0.30080000000000001</v>
          </cell>
          <cell r="F15">
            <v>0.41089999999999999</v>
          </cell>
          <cell r="G15">
            <v>0.1152</v>
          </cell>
        </row>
        <row r="16">
          <cell r="A16">
            <v>0.05</v>
          </cell>
          <cell r="E16">
            <v>0.30590000000000001</v>
          </cell>
          <cell r="F16">
            <v>0.40989999999999999</v>
          </cell>
          <cell r="G16">
            <v>0.12239999999999999</v>
          </cell>
        </row>
        <row r="17">
          <cell r="A17">
            <v>5.5E-2</v>
          </cell>
          <cell r="E17">
            <v>0.32119999999999999</v>
          </cell>
          <cell r="F17">
            <v>0.40789999999999998</v>
          </cell>
          <cell r="G17">
            <v>0.1142</v>
          </cell>
        </row>
        <row r="18">
          <cell r="A18">
            <v>0.06</v>
          </cell>
          <cell r="E18">
            <v>0.32429999999999998</v>
          </cell>
          <cell r="F18">
            <v>0.42009999999999997</v>
          </cell>
          <cell r="G18">
            <v>0.1101</v>
          </cell>
        </row>
        <row r="19">
          <cell r="A19">
            <v>6.5000000000000002E-2</v>
          </cell>
          <cell r="E19">
            <v>0.31809999999999999</v>
          </cell>
          <cell r="F19">
            <v>0.4405</v>
          </cell>
          <cell r="G19">
            <v>0.1173</v>
          </cell>
        </row>
        <row r="20">
          <cell r="A20">
            <v>7.0000000000000007E-2</v>
          </cell>
          <cell r="E20">
            <v>0.34670000000000001</v>
          </cell>
          <cell r="F20">
            <v>0.46700000000000003</v>
          </cell>
          <cell r="G20">
            <v>0.1142</v>
          </cell>
        </row>
        <row r="21">
          <cell r="A21">
            <v>7.4999999999999997E-2</v>
          </cell>
          <cell r="E21">
            <v>0.34470000000000001</v>
          </cell>
          <cell r="F21">
            <v>0.46089999999999998</v>
          </cell>
          <cell r="G21">
            <v>0.1305</v>
          </cell>
        </row>
        <row r="22">
          <cell r="A22">
            <v>0.08</v>
          </cell>
          <cell r="E22">
            <v>0.34160000000000001</v>
          </cell>
          <cell r="F22">
            <v>0.48130000000000001</v>
          </cell>
          <cell r="G22">
            <v>0.15809999999999999</v>
          </cell>
        </row>
        <row r="23">
          <cell r="A23">
            <v>8.5000000000000006E-2</v>
          </cell>
          <cell r="E23">
            <v>0.37219999999999998</v>
          </cell>
          <cell r="F23">
            <v>0.46700000000000003</v>
          </cell>
          <cell r="G23">
            <v>0.21410000000000001</v>
          </cell>
        </row>
        <row r="24">
          <cell r="A24">
            <v>0.09</v>
          </cell>
          <cell r="E24">
            <v>0.38550000000000001</v>
          </cell>
          <cell r="F24">
            <v>0.45889999999999997</v>
          </cell>
          <cell r="G24">
            <v>0.23960000000000001</v>
          </cell>
        </row>
        <row r="25">
          <cell r="A25">
            <v>9.5000000000000001E-2</v>
          </cell>
          <cell r="E25">
            <v>0.40279999999999999</v>
          </cell>
          <cell r="F25">
            <v>0.47720000000000001</v>
          </cell>
          <cell r="G25">
            <v>0.2223</v>
          </cell>
        </row>
        <row r="26">
          <cell r="A26">
            <v>0.1</v>
          </cell>
          <cell r="E26">
            <v>0.41</v>
          </cell>
          <cell r="F26">
            <v>0.46089999999999998</v>
          </cell>
          <cell r="G26">
            <v>0.25290000000000001</v>
          </cell>
        </row>
        <row r="27">
          <cell r="A27">
            <v>0.11</v>
          </cell>
          <cell r="E27">
            <v>0.42320000000000002</v>
          </cell>
          <cell r="F27">
            <v>0.45379999999999998</v>
          </cell>
          <cell r="G27">
            <v>0.2039</v>
          </cell>
        </row>
        <row r="28">
          <cell r="A28">
            <v>0.12</v>
          </cell>
          <cell r="E28">
            <v>0.49969999999999998</v>
          </cell>
          <cell r="F28">
            <v>0.51800000000000002</v>
          </cell>
          <cell r="G28">
            <v>0.19370000000000001</v>
          </cell>
        </row>
        <row r="29">
          <cell r="A29">
            <v>0.13</v>
          </cell>
          <cell r="E29">
            <v>0.5282</v>
          </cell>
          <cell r="F29">
            <v>0.56589999999999996</v>
          </cell>
          <cell r="G29">
            <v>0.25290000000000001</v>
          </cell>
        </row>
        <row r="30">
          <cell r="A30">
            <v>0.14000000000000001</v>
          </cell>
          <cell r="E30">
            <v>0.45889999999999997</v>
          </cell>
          <cell r="F30">
            <v>0.52210000000000001</v>
          </cell>
          <cell r="G30">
            <v>0.23449999999999999</v>
          </cell>
        </row>
        <row r="31">
          <cell r="A31">
            <v>0.15</v>
          </cell>
          <cell r="E31">
            <v>0.50170000000000003</v>
          </cell>
          <cell r="F31">
            <v>0.5323</v>
          </cell>
          <cell r="G31">
            <v>0.1958</v>
          </cell>
        </row>
        <row r="32">
          <cell r="A32">
            <v>0.16</v>
          </cell>
          <cell r="E32">
            <v>0.46910000000000002</v>
          </cell>
          <cell r="F32">
            <v>0.50170000000000003</v>
          </cell>
          <cell r="G32">
            <v>0.21920000000000001</v>
          </cell>
        </row>
        <row r="33">
          <cell r="A33">
            <v>0.17</v>
          </cell>
          <cell r="E33">
            <v>0.48949999999999999</v>
          </cell>
          <cell r="F33">
            <v>0.60980000000000001</v>
          </cell>
          <cell r="G33">
            <v>0.23250000000000001</v>
          </cell>
        </row>
        <row r="34">
          <cell r="A34">
            <v>0.18</v>
          </cell>
          <cell r="E34">
            <v>0.46700000000000003</v>
          </cell>
          <cell r="F34">
            <v>0.69540000000000002</v>
          </cell>
          <cell r="G34">
            <v>0.2702</v>
          </cell>
        </row>
        <row r="35">
          <cell r="A35">
            <v>0.19</v>
          </cell>
          <cell r="E35">
            <v>0.51190000000000002</v>
          </cell>
          <cell r="F35">
            <v>0.76480000000000004</v>
          </cell>
          <cell r="G35">
            <v>0.28349999999999997</v>
          </cell>
        </row>
        <row r="36">
          <cell r="A36">
            <v>0.2</v>
          </cell>
          <cell r="E36">
            <v>0.54549999999999998</v>
          </cell>
          <cell r="F36">
            <v>0.79330000000000001</v>
          </cell>
          <cell r="G36">
            <v>0.31409999999999999</v>
          </cell>
        </row>
        <row r="37">
          <cell r="A37">
            <v>0.22</v>
          </cell>
          <cell r="E37">
            <v>0.60370000000000001</v>
          </cell>
          <cell r="F37">
            <v>0.72399999999999998</v>
          </cell>
          <cell r="G37">
            <v>0.28549999999999998</v>
          </cell>
        </row>
        <row r="38">
          <cell r="A38">
            <v>0.24</v>
          </cell>
          <cell r="E38">
            <v>0.60160000000000002</v>
          </cell>
          <cell r="F38">
            <v>0.66279999999999994</v>
          </cell>
          <cell r="G38">
            <v>0.25490000000000002</v>
          </cell>
        </row>
        <row r="39">
          <cell r="A39">
            <v>0.25</v>
          </cell>
          <cell r="E39">
            <v>0.63219999999999998</v>
          </cell>
          <cell r="F39">
            <v>0.73619999999999997</v>
          </cell>
          <cell r="G39">
            <v>0.31609999999999999</v>
          </cell>
        </row>
        <row r="40">
          <cell r="A40">
            <v>0.26</v>
          </cell>
          <cell r="E40">
            <v>0.63429999999999997</v>
          </cell>
          <cell r="F40">
            <v>0.77500000000000002</v>
          </cell>
          <cell r="G40">
            <v>0.34670000000000001</v>
          </cell>
        </row>
        <row r="41">
          <cell r="A41">
            <v>0.27</v>
          </cell>
          <cell r="E41">
            <v>0.6169</v>
          </cell>
          <cell r="F41">
            <v>0.75660000000000005</v>
          </cell>
          <cell r="G41">
            <v>0.34470000000000001</v>
          </cell>
        </row>
        <row r="42">
          <cell r="A42">
            <v>0.28000000000000003</v>
          </cell>
          <cell r="E42">
            <v>0.58330000000000004</v>
          </cell>
          <cell r="F42">
            <v>0.77290000000000003</v>
          </cell>
          <cell r="G42">
            <v>0.3977</v>
          </cell>
        </row>
        <row r="43">
          <cell r="A43">
            <v>0.28999999999999998</v>
          </cell>
          <cell r="E43">
            <v>0.6169</v>
          </cell>
          <cell r="F43">
            <v>0.73219999999999996</v>
          </cell>
          <cell r="G43">
            <v>0.42320000000000002</v>
          </cell>
        </row>
        <row r="44">
          <cell r="A44">
            <v>0.31</v>
          </cell>
          <cell r="E44">
            <v>0.59140000000000004</v>
          </cell>
          <cell r="F44">
            <v>0.78010000000000002</v>
          </cell>
          <cell r="G44">
            <v>0.3977</v>
          </cell>
        </row>
        <row r="45">
          <cell r="A45">
            <v>0.33</v>
          </cell>
          <cell r="E45">
            <v>0.55059999999999998</v>
          </cell>
          <cell r="F45">
            <v>0.84130000000000005</v>
          </cell>
          <cell r="G45">
            <v>0.34670000000000001</v>
          </cell>
        </row>
        <row r="46">
          <cell r="A46">
            <v>0.35</v>
          </cell>
          <cell r="E46">
            <v>0.62409999999999999</v>
          </cell>
          <cell r="F46">
            <v>0.95340000000000003</v>
          </cell>
          <cell r="G46">
            <v>0.2651</v>
          </cell>
        </row>
        <row r="47">
          <cell r="A47">
            <v>0.38</v>
          </cell>
          <cell r="E47">
            <v>0.78010000000000002</v>
          </cell>
          <cell r="F47">
            <v>0.89229999999999998</v>
          </cell>
          <cell r="G47">
            <v>0.22939999999999999</v>
          </cell>
        </row>
        <row r="48">
          <cell r="A48">
            <v>0.4</v>
          </cell>
          <cell r="E48">
            <v>0.85860000000000003</v>
          </cell>
          <cell r="F48">
            <v>1.1727000000000001</v>
          </cell>
          <cell r="G48">
            <v>0.2019</v>
          </cell>
        </row>
        <row r="49">
          <cell r="A49">
            <v>0.42</v>
          </cell>
          <cell r="E49">
            <v>0.90959999999999996</v>
          </cell>
          <cell r="F49">
            <v>1.3613</v>
          </cell>
          <cell r="G49">
            <v>0.1784</v>
          </cell>
        </row>
        <row r="50">
          <cell r="A50">
            <v>0.44</v>
          </cell>
          <cell r="E50">
            <v>0.82089999999999996</v>
          </cell>
          <cell r="F50">
            <v>1.3051999999999999</v>
          </cell>
          <cell r="G50">
            <v>0.1784</v>
          </cell>
        </row>
        <row r="51">
          <cell r="A51">
            <v>0.46</v>
          </cell>
          <cell r="E51">
            <v>0.86680000000000001</v>
          </cell>
          <cell r="F51">
            <v>1.3766</v>
          </cell>
          <cell r="G51">
            <v>0.1754</v>
          </cell>
        </row>
        <row r="52">
          <cell r="A52">
            <v>0.5</v>
          </cell>
          <cell r="E52">
            <v>1.1216999999999999</v>
          </cell>
          <cell r="F52">
            <v>1.6518999999999999</v>
          </cell>
          <cell r="G52">
            <v>0.18149999999999999</v>
          </cell>
        </row>
        <row r="53">
          <cell r="A53">
            <v>0.52</v>
          </cell>
          <cell r="E53">
            <v>1.4378</v>
          </cell>
          <cell r="F53">
            <v>1.8354999999999999</v>
          </cell>
          <cell r="G53">
            <v>0.16819999999999999</v>
          </cell>
        </row>
        <row r="54">
          <cell r="A54">
            <v>0.54</v>
          </cell>
          <cell r="E54">
            <v>1.5092000000000001</v>
          </cell>
          <cell r="F54">
            <v>2.0343</v>
          </cell>
          <cell r="G54">
            <v>0.14069999999999999</v>
          </cell>
        </row>
        <row r="55">
          <cell r="A55">
            <v>0.56000000000000005</v>
          </cell>
          <cell r="E55">
            <v>1.657</v>
          </cell>
          <cell r="F55">
            <v>1.9375</v>
          </cell>
          <cell r="G55">
            <v>0.1203</v>
          </cell>
        </row>
        <row r="56">
          <cell r="A56">
            <v>0.57999999999999996</v>
          </cell>
          <cell r="E56">
            <v>1.3868</v>
          </cell>
          <cell r="F56">
            <v>2.0394000000000001</v>
          </cell>
          <cell r="G56">
            <v>0.1346</v>
          </cell>
        </row>
        <row r="57">
          <cell r="A57">
            <v>0.6</v>
          </cell>
          <cell r="E57">
            <v>1.5092000000000001</v>
          </cell>
          <cell r="F57">
            <v>1.968</v>
          </cell>
          <cell r="G57">
            <v>0.1244</v>
          </cell>
        </row>
        <row r="58">
          <cell r="A58">
            <v>0.65</v>
          </cell>
          <cell r="E58">
            <v>1.1420999999999999</v>
          </cell>
          <cell r="F58">
            <v>1.3255999999999999</v>
          </cell>
          <cell r="G58">
            <v>0.1101</v>
          </cell>
        </row>
        <row r="59">
          <cell r="A59">
            <v>0.7</v>
          </cell>
          <cell r="E59">
            <v>0.69340000000000002</v>
          </cell>
          <cell r="F59">
            <v>0.76480000000000004</v>
          </cell>
          <cell r="G59">
            <v>0.13769999999999999</v>
          </cell>
        </row>
        <row r="60">
          <cell r="A60">
            <v>0.75</v>
          </cell>
          <cell r="E60">
            <v>0.57099999999999995</v>
          </cell>
          <cell r="F60">
            <v>0.5323</v>
          </cell>
          <cell r="G60">
            <v>0.1275</v>
          </cell>
        </row>
        <row r="61">
          <cell r="A61">
            <v>0.8</v>
          </cell>
          <cell r="E61">
            <v>0.45889999999999997</v>
          </cell>
          <cell r="F61">
            <v>0.48949999999999999</v>
          </cell>
          <cell r="G61">
            <v>8.6699999999999999E-2</v>
          </cell>
        </row>
        <row r="62">
          <cell r="A62">
            <v>0.85</v>
          </cell>
          <cell r="E62">
            <v>0.31809999999999999</v>
          </cell>
          <cell r="F62">
            <v>0.3518</v>
          </cell>
          <cell r="G62">
            <v>6.3200000000000006E-2</v>
          </cell>
        </row>
        <row r="63">
          <cell r="A63">
            <v>0.9</v>
          </cell>
          <cell r="E63">
            <v>0.22939999999999999</v>
          </cell>
          <cell r="F63">
            <v>0.28549999999999998</v>
          </cell>
          <cell r="G63">
            <v>6.4199999999999993E-2</v>
          </cell>
        </row>
        <row r="64">
          <cell r="A64">
            <v>0.95</v>
          </cell>
          <cell r="E64">
            <v>0.18149999999999999</v>
          </cell>
          <cell r="F64">
            <v>0.23960000000000001</v>
          </cell>
          <cell r="G64">
            <v>6.1199999999999997E-2</v>
          </cell>
        </row>
        <row r="65">
          <cell r="A65">
            <v>1</v>
          </cell>
          <cell r="E65">
            <v>0.14480000000000001</v>
          </cell>
          <cell r="F65">
            <v>0.22939999999999999</v>
          </cell>
          <cell r="G65">
            <v>4.2799999999999998E-2</v>
          </cell>
        </row>
        <row r="66">
          <cell r="A66">
            <v>1.1000000000000001</v>
          </cell>
          <cell r="E66">
            <v>0.1173</v>
          </cell>
          <cell r="F66">
            <v>0.2039</v>
          </cell>
          <cell r="G66">
            <v>3.8699999999999998E-2</v>
          </cell>
        </row>
        <row r="67">
          <cell r="A67">
            <v>1.2</v>
          </cell>
          <cell r="E67">
            <v>0.1101</v>
          </cell>
          <cell r="F67">
            <v>0.18859999999999999</v>
          </cell>
          <cell r="G67">
            <v>4.0800000000000003E-2</v>
          </cell>
        </row>
        <row r="68">
          <cell r="A68">
            <v>1.3</v>
          </cell>
          <cell r="E68">
            <v>0.11219999999999999</v>
          </cell>
          <cell r="F68">
            <v>0.12239999999999999</v>
          </cell>
          <cell r="G68">
            <v>3.2599999999999997E-2</v>
          </cell>
        </row>
        <row r="69">
          <cell r="A69">
            <v>1.4</v>
          </cell>
          <cell r="E69">
            <v>0.104</v>
          </cell>
          <cell r="F69">
            <v>0.104</v>
          </cell>
          <cell r="G69">
            <v>3.0599999999999999E-2</v>
          </cell>
        </row>
        <row r="70">
          <cell r="A70">
            <v>1.5</v>
          </cell>
          <cell r="E70">
            <v>0.1101</v>
          </cell>
          <cell r="F70">
            <v>9.1800000000000007E-2</v>
          </cell>
          <cell r="G70">
            <v>2.86E-2</v>
          </cell>
        </row>
        <row r="71">
          <cell r="A71">
            <v>1.6</v>
          </cell>
          <cell r="E71">
            <v>8.1600000000000006E-2</v>
          </cell>
          <cell r="F71">
            <v>8.3599999999999994E-2</v>
          </cell>
          <cell r="G71">
            <v>1.84E-2</v>
          </cell>
        </row>
        <row r="72">
          <cell r="A72">
            <v>1.8</v>
          </cell>
          <cell r="E72">
            <v>5.6099999999999997E-2</v>
          </cell>
          <cell r="F72">
            <v>5.2999999999999999E-2</v>
          </cell>
          <cell r="G72">
            <v>2.0400000000000001E-2</v>
          </cell>
        </row>
        <row r="73">
          <cell r="A73">
            <v>2</v>
          </cell>
          <cell r="E73">
            <v>5.6099999999999997E-2</v>
          </cell>
          <cell r="F73">
            <v>5.91E-2</v>
          </cell>
          <cell r="G73">
            <v>2.1399999999999999E-2</v>
          </cell>
        </row>
        <row r="74">
          <cell r="A74">
            <v>2.2000000000000002</v>
          </cell>
          <cell r="E74">
            <v>4.8899999999999999E-2</v>
          </cell>
          <cell r="F74">
            <v>5.0999999999999997E-2</v>
          </cell>
          <cell r="G74">
            <v>1.5299999999999999E-2</v>
          </cell>
        </row>
        <row r="75">
          <cell r="A75">
            <v>2.5</v>
          </cell>
          <cell r="E75">
            <v>3.2599999999999997E-2</v>
          </cell>
          <cell r="F75">
            <v>2.86E-2</v>
          </cell>
          <cell r="G75">
            <v>8.2000000000000007E-3</v>
          </cell>
        </row>
        <row r="76">
          <cell r="A76">
            <v>2.8</v>
          </cell>
          <cell r="E76">
            <v>2.5499999999999998E-2</v>
          </cell>
          <cell r="F76">
            <v>2.24E-2</v>
          </cell>
          <cell r="G76">
            <v>6.1000000000000004E-3</v>
          </cell>
        </row>
        <row r="77">
          <cell r="A77">
            <v>3</v>
          </cell>
          <cell r="E77">
            <v>2.6499999999999999E-2</v>
          </cell>
          <cell r="F77">
            <v>2.0400000000000001E-2</v>
          </cell>
          <cell r="G77">
            <v>5.1000000000000004E-3</v>
          </cell>
        </row>
        <row r="78">
          <cell r="A78">
            <v>3.5</v>
          </cell>
          <cell r="E78">
            <v>1.5299999999999999E-2</v>
          </cell>
          <cell r="F78">
            <v>1.6299999999999999E-2</v>
          </cell>
          <cell r="G78">
            <v>4.1000000000000003E-3</v>
          </cell>
        </row>
        <row r="79">
          <cell r="A79">
            <v>4</v>
          </cell>
          <cell r="E79">
            <v>1.2200000000000001E-2</v>
          </cell>
          <cell r="F79">
            <v>1.2200000000000001E-2</v>
          </cell>
          <cell r="G79">
            <v>3.0999999999999999E-3</v>
          </cell>
        </row>
        <row r="80">
          <cell r="A80">
            <v>4.5</v>
          </cell>
          <cell r="E80">
            <v>8.2000000000000007E-3</v>
          </cell>
          <cell r="F80">
            <v>1.0200000000000001E-2</v>
          </cell>
          <cell r="G80">
            <v>2E-3</v>
          </cell>
        </row>
        <row r="81">
          <cell r="A81">
            <v>5</v>
          </cell>
          <cell r="E81">
            <v>6.1000000000000004E-3</v>
          </cell>
          <cell r="F81">
            <v>8.2000000000000007E-3</v>
          </cell>
          <cell r="G81">
            <v>2E-3</v>
          </cell>
        </row>
      </sheetData>
      <sheetData sheetId="11">
        <row r="2">
          <cell r="E2" t="str">
            <v>Sismo2026-FLND - EW (%g)</v>
          </cell>
          <cell r="F2" t="str">
            <v>Sismo2026-FLND - NS (%g)</v>
          </cell>
          <cell r="G2" t="str">
            <v>Sismo2026-FLND - Vert (%g)</v>
          </cell>
        </row>
        <row r="3">
          <cell r="A3">
            <v>0.01</v>
          </cell>
          <cell r="E3">
            <v>0.43340000000000001</v>
          </cell>
          <cell r="F3">
            <v>0.27739999999999998</v>
          </cell>
          <cell r="G3">
            <v>0.1071</v>
          </cell>
        </row>
        <row r="4">
          <cell r="A4">
            <v>1.2E-2</v>
          </cell>
          <cell r="E4">
            <v>0.44359999999999999</v>
          </cell>
          <cell r="F4">
            <v>0.27839999999999998</v>
          </cell>
          <cell r="G4">
            <v>0.1101</v>
          </cell>
        </row>
        <row r="5">
          <cell r="A5">
            <v>1.4999999999999999E-2</v>
          </cell>
          <cell r="E5">
            <v>0.4466</v>
          </cell>
          <cell r="F5">
            <v>0.28039999999999998</v>
          </cell>
          <cell r="G5">
            <v>0.1081</v>
          </cell>
        </row>
        <row r="6">
          <cell r="A6">
            <v>1.7999999999999999E-2</v>
          </cell>
          <cell r="E6">
            <v>0.45379999999999998</v>
          </cell>
          <cell r="F6">
            <v>0.28349999999999997</v>
          </cell>
          <cell r="G6">
            <v>0.1203</v>
          </cell>
        </row>
        <row r="7">
          <cell r="A7">
            <v>0.02</v>
          </cell>
          <cell r="E7">
            <v>0.45889999999999997</v>
          </cell>
          <cell r="F7">
            <v>0.28549999999999998</v>
          </cell>
          <cell r="G7">
            <v>0.13769999999999999</v>
          </cell>
        </row>
        <row r="8">
          <cell r="A8">
            <v>2.5000000000000001E-2</v>
          </cell>
          <cell r="E8">
            <v>0.4793</v>
          </cell>
          <cell r="F8">
            <v>0.29060000000000002</v>
          </cell>
          <cell r="G8">
            <v>0.14480000000000001</v>
          </cell>
        </row>
        <row r="9">
          <cell r="A9">
            <v>0.03</v>
          </cell>
          <cell r="E9">
            <v>0.49149999999999999</v>
          </cell>
          <cell r="F9">
            <v>0.29570000000000002</v>
          </cell>
          <cell r="G9">
            <v>0.12640000000000001</v>
          </cell>
        </row>
        <row r="10">
          <cell r="A10">
            <v>3.5000000000000003E-2</v>
          </cell>
          <cell r="E10">
            <v>0.50780000000000003</v>
          </cell>
          <cell r="F10">
            <v>0.30790000000000001</v>
          </cell>
          <cell r="G10">
            <v>0.14069999999999999</v>
          </cell>
        </row>
        <row r="11">
          <cell r="A11">
            <v>0.04</v>
          </cell>
          <cell r="E11">
            <v>0.50170000000000003</v>
          </cell>
          <cell r="F11">
            <v>0.31809999999999999</v>
          </cell>
          <cell r="G11">
            <v>0.1346</v>
          </cell>
        </row>
        <row r="12">
          <cell r="A12">
            <v>4.4999999999999998E-2</v>
          </cell>
          <cell r="E12">
            <v>0.5353</v>
          </cell>
          <cell r="F12">
            <v>0.32629999999999998</v>
          </cell>
          <cell r="G12">
            <v>0.1305</v>
          </cell>
        </row>
        <row r="13">
          <cell r="A13">
            <v>0.05</v>
          </cell>
          <cell r="E13">
            <v>0.50990000000000002</v>
          </cell>
          <cell r="F13">
            <v>0.33450000000000002</v>
          </cell>
          <cell r="G13">
            <v>0.1305</v>
          </cell>
        </row>
        <row r="14">
          <cell r="A14">
            <v>5.5E-2</v>
          </cell>
          <cell r="E14">
            <v>0.5353</v>
          </cell>
          <cell r="F14">
            <v>0.34670000000000001</v>
          </cell>
          <cell r="G14">
            <v>0.15809999999999999</v>
          </cell>
        </row>
        <row r="15">
          <cell r="A15">
            <v>0.06</v>
          </cell>
          <cell r="E15">
            <v>0.55059999999999998</v>
          </cell>
          <cell r="F15">
            <v>0.33850000000000002</v>
          </cell>
          <cell r="G15">
            <v>0.17130000000000001</v>
          </cell>
        </row>
        <row r="16">
          <cell r="A16">
            <v>6.5000000000000002E-2</v>
          </cell>
          <cell r="E16">
            <v>0.52010000000000001</v>
          </cell>
          <cell r="F16">
            <v>0.33850000000000002</v>
          </cell>
          <cell r="G16">
            <v>0.1958</v>
          </cell>
        </row>
        <row r="17">
          <cell r="A17">
            <v>7.0000000000000007E-2</v>
          </cell>
          <cell r="E17">
            <v>0.58630000000000004</v>
          </cell>
          <cell r="F17">
            <v>0.3548</v>
          </cell>
          <cell r="G17">
            <v>0.2162</v>
          </cell>
        </row>
        <row r="18">
          <cell r="A18">
            <v>7.4999999999999997E-2</v>
          </cell>
          <cell r="E18">
            <v>0.58330000000000004</v>
          </cell>
          <cell r="F18">
            <v>0.34870000000000001</v>
          </cell>
          <cell r="G18">
            <v>0.1958</v>
          </cell>
        </row>
        <row r="19">
          <cell r="A19">
            <v>0.08</v>
          </cell>
          <cell r="E19">
            <v>0.54039999999999999</v>
          </cell>
          <cell r="F19">
            <v>0.3926</v>
          </cell>
          <cell r="G19">
            <v>0.2223</v>
          </cell>
        </row>
        <row r="20">
          <cell r="A20">
            <v>8.5000000000000006E-2</v>
          </cell>
          <cell r="E20">
            <v>0.57099999999999995</v>
          </cell>
          <cell r="F20">
            <v>0.40279999999999999</v>
          </cell>
          <cell r="G20">
            <v>0.21210000000000001</v>
          </cell>
        </row>
        <row r="21">
          <cell r="A21">
            <v>0.09</v>
          </cell>
          <cell r="E21">
            <v>0.57310000000000005</v>
          </cell>
          <cell r="F21">
            <v>0.34870000000000001</v>
          </cell>
          <cell r="G21">
            <v>0.1958</v>
          </cell>
        </row>
        <row r="22">
          <cell r="A22">
            <v>9.5000000000000001E-2</v>
          </cell>
          <cell r="E22">
            <v>0.49759999999999999</v>
          </cell>
          <cell r="F22">
            <v>0.36909999999999998</v>
          </cell>
          <cell r="G22">
            <v>0.20599999999999999</v>
          </cell>
        </row>
        <row r="23">
          <cell r="A23">
            <v>0.1</v>
          </cell>
          <cell r="E23">
            <v>0.55059999999999998</v>
          </cell>
          <cell r="F23">
            <v>0.36909999999999998</v>
          </cell>
          <cell r="G23">
            <v>0.1835</v>
          </cell>
        </row>
        <row r="24">
          <cell r="A24">
            <v>0.105</v>
          </cell>
          <cell r="E24">
            <v>0.63219999999999998</v>
          </cell>
          <cell r="F24">
            <v>0.41299999999999998</v>
          </cell>
          <cell r="G24">
            <v>0.20599999999999999</v>
          </cell>
        </row>
        <row r="25">
          <cell r="A25">
            <v>0.115</v>
          </cell>
          <cell r="E25">
            <v>0.73929999999999996</v>
          </cell>
          <cell r="F25">
            <v>0.42009999999999997</v>
          </cell>
          <cell r="G25">
            <v>0.22939999999999999</v>
          </cell>
        </row>
        <row r="26">
          <cell r="A26">
            <v>0.125</v>
          </cell>
          <cell r="E26">
            <v>0.62409999999999999</v>
          </cell>
          <cell r="F26">
            <v>0.5323</v>
          </cell>
          <cell r="G26">
            <v>0.21210000000000001</v>
          </cell>
        </row>
        <row r="27">
          <cell r="A27">
            <v>0.13500000000000001</v>
          </cell>
          <cell r="E27">
            <v>0.61180000000000001</v>
          </cell>
          <cell r="F27">
            <v>0.50780000000000003</v>
          </cell>
          <cell r="G27">
            <v>0.21920000000000001</v>
          </cell>
        </row>
        <row r="28">
          <cell r="A28">
            <v>0.14499999999999999</v>
          </cell>
          <cell r="E28">
            <v>0.46400000000000002</v>
          </cell>
          <cell r="F28">
            <v>0.55059999999999998</v>
          </cell>
          <cell r="G28">
            <v>0.2427</v>
          </cell>
        </row>
        <row r="29">
          <cell r="A29">
            <v>0.155</v>
          </cell>
          <cell r="E29">
            <v>0.55269999999999997</v>
          </cell>
          <cell r="F29">
            <v>0.50990000000000002</v>
          </cell>
          <cell r="G29">
            <v>0.28549999999999998</v>
          </cell>
        </row>
        <row r="30">
          <cell r="A30">
            <v>0.16500000000000001</v>
          </cell>
          <cell r="E30">
            <v>0.47720000000000001</v>
          </cell>
          <cell r="F30">
            <v>0.5353</v>
          </cell>
          <cell r="G30">
            <v>0.3039</v>
          </cell>
        </row>
        <row r="31">
          <cell r="A31">
            <v>0.17499999999999999</v>
          </cell>
          <cell r="E31">
            <v>0.54859999999999998</v>
          </cell>
          <cell r="F31">
            <v>0.50990000000000002</v>
          </cell>
          <cell r="G31">
            <v>0.30590000000000001</v>
          </cell>
        </row>
        <row r="32">
          <cell r="A32">
            <v>0.19</v>
          </cell>
          <cell r="E32">
            <v>0.72909999999999997</v>
          </cell>
          <cell r="F32">
            <v>0.72909999999999997</v>
          </cell>
          <cell r="G32">
            <v>0.43640000000000001</v>
          </cell>
        </row>
        <row r="33">
          <cell r="A33">
            <v>0.215</v>
          </cell>
          <cell r="E33">
            <v>0.65769999999999995</v>
          </cell>
          <cell r="F33">
            <v>0.55269999999999997</v>
          </cell>
          <cell r="G33">
            <v>0.33139999999999997</v>
          </cell>
        </row>
        <row r="34">
          <cell r="A34">
            <v>0.23</v>
          </cell>
          <cell r="E34">
            <v>0.67510000000000003</v>
          </cell>
          <cell r="F34">
            <v>0.59960000000000002</v>
          </cell>
          <cell r="G34">
            <v>0.36709999999999998</v>
          </cell>
        </row>
        <row r="35">
          <cell r="A35">
            <v>0.25</v>
          </cell>
          <cell r="E35">
            <v>0.65259999999999996</v>
          </cell>
          <cell r="F35">
            <v>0.51190000000000002</v>
          </cell>
          <cell r="G35">
            <v>0.32629999999999998</v>
          </cell>
        </row>
        <row r="36">
          <cell r="A36">
            <v>0.26500000000000001</v>
          </cell>
          <cell r="E36">
            <v>0.62709999999999999</v>
          </cell>
          <cell r="F36">
            <v>0.50170000000000003</v>
          </cell>
          <cell r="G36">
            <v>0.2702</v>
          </cell>
        </row>
        <row r="37">
          <cell r="A37">
            <v>0.28999999999999998</v>
          </cell>
          <cell r="E37">
            <v>0.69540000000000002</v>
          </cell>
          <cell r="F37">
            <v>0.82089999999999996</v>
          </cell>
          <cell r="G37">
            <v>0.33139999999999997</v>
          </cell>
        </row>
        <row r="38">
          <cell r="A38">
            <v>0.31</v>
          </cell>
          <cell r="E38">
            <v>0.98399999999999999</v>
          </cell>
          <cell r="F38">
            <v>0.62</v>
          </cell>
          <cell r="G38">
            <v>0.29570000000000002</v>
          </cell>
        </row>
        <row r="39">
          <cell r="A39">
            <v>0.34</v>
          </cell>
          <cell r="E39">
            <v>0.84130000000000005</v>
          </cell>
          <cell r="F39">
            <v>0.72599999999999998</v>
          </cell>
          <cell r="G39">
            <v>0.27529999999999999</v>
          </cell>
        </row>
        <row r="40">
          <cell r="A40">
            <v>0.38</v>
          </cell>
          <cell r="E40">
            <v>0.57609999999999995</v>
          </cell>
          <cell r="F40">
            <v>0.5323</v>
          </cell>
          <cell r="G40">
            <v>0.16819999999999999</v>
          </cell>
        </row>
        <row r="41">
          <cell r="A41">
            <v>0.4</v>
          </cell>
          <cell r="E41">
            <v>0.49459999999999998</v>
          </cell>
          <cell r="F41">
            <v>0.54549999999999998</v>
          </cell>
          <cell r="G41">
            <v>0.13769999999999999</v>
          </cell>
        </row>
        <row r="42">
          <cell r="A42">
            <v>0.42</v>
          </cell>
          <cell r="E42">
            <v>0.71379999999999999</v>
          </cell>
          <cell r="F42">
            <v>0.6169</v>
          </cell>
          <cell r="G42">
            <v>0.11219999999999999</v>
          </cell>
        </row>
        <row r="43">
          <cell r="A43">
            <v>0.46</v>
          </cell>
          <cell r="E43">
            <v>0.65059999999999996</v>
          </cell>
          <cell r="F43">
            <v>0.66279999999999994</v>
          </cell>
          <cell r="G43">
            <v>0.10199999999999999</v>
          </cell>
        </row>
        <row r="44">
          <cell r="A44">
            <v>0.48</v>
          </cell>
          <cell r="E44">
            <v>0.77500000000000002</v>
          </cell>
          <cell r="F44">
            <v>0.69340000000000002</v>
          </cell>
          <cell r="G44">
            <v>0.104</v>
          </cell>
        </row>
        <row r="45">
          <cell r="A45">
            <v>0.52</v>
          </cell>
          <cell r="E45">
            <v>0.96360000000000001</v>
          </cell>
          <cell r="F45">
            <v>0.83620000000000005</v>
          </cell>
          <cell r="G45">
            <v>8.6699999999999999E-2</v>
          </cell>
        </row>
        <row r="46">
          <cell r="A46">
            <v>0.56000000000000005</v>
          </cell>
          <cell r="E46">
            <v>1.1114999999999999</v>
          </cell>
          <cell r="F46">
            <v>1.0687</v>
          </cell>
          <cell r="G46">
            <v>7.1400000000000005E-2</v>
          </cell>
        </row>
        <row r="47">
          <cell r="A47">
            <v>0.62</v>
          </cell>
          <cell r="E47">
            <v>0.89739999999999998</v>
          </cell>
          <cell r="F47">
            <v>0.82599999999999996</v>
          </cell>
          <cell r="G47">
            <v>9.3799999999999994E-2</v>
          </cell>
        </row>
        <row r="48">
          <cell r="A48">
            <v>0.68</v>
          </cell>
          <cell r="E48">
            <v>0.61180000000000001</v>
          </cell>
          <cell r="F48">
            <v>0.40789999999999998</v>
          </cell>
          <cell r="G48">
            <v>9.9900000000000003E-2</v>
          </cell>
        </row>
        <row r="49">
          <cell r="A49">
            <v>0.72</v>
          </cell>
          <cell r="E49">
            <v>0.43340000000000001</v>
          </cell>
          <cell r="F49">
            <v>0.3569</v>
          </cell>
          <cell r="G49">
            <v>6.93E-2</v>
          </cell>
        </row>
        <row r="50">
          <cell r="A50">
            <v>0.78</v>
          </cell>
          <cell r="E50">
            <v>0.3569</v>
          </cell>
          <cell r="F50">
            <v>0.40789999999999998</v>
          </cell>
          <cell r="G50">
            <v>6.7299999999999999E-2</v>
          </cell>
        </row>
        <row r="51">
          <cell r="A51">
            <v>0.85</v>
          </cell>
          <cell r="E51">
            <v>0.22939999999999999</v>
          </cell>
          <cell r="F51">
            <v>0.28549999999999998</v>
          </cell>
          <cell r="G51">
            <v>6.93E-2</v>
          </cell>
        </row>
        <row r="52">
          <cell r="A52">
            <v>0.9</v>
          </cell>
          <cell r="E52">
            <v>0.2447</v>
          </cell>
          <cell r="F52">
            <v>0.27329999999999999</v>
          </cell>
          <cell r="G52">
            <v>8.6699999999999999E-2</v>
          </cell>
        </row>
        <row r="53">
          <cell r="A53">
            <v>1</v>
          </cell>
          <cell r="E53">
            <v>0.1835</v>
          </cell>
          <cell r="F53">
            <v>0.21920000000000001</v>
          </cell>
          <cell r="G53">
            <v>9.9900000000000003E-2</v>
          </cell>
        </row>
        <row r="54">
          <cell r="A54">
            <v>1.1000000000000001</v>
          </cell>
          <cell r="E54">
            <v>0.15290000000000001</v>
          </cell>
          <cell r="F54">
            <v>0.14480000000000001</v>
          </cell>
          <cell r="G54">
            <v>7.6499999999999999E-2</v>
          </cell>
        </row>
        <row r="55">
          <cell r="A55">
            <v>1.2</v>
          </cell>
          <cell r="E55">
            <v>0.1101</v>
          </cell>
          <cell r="F55">
            <v>0.1479</v>
          </cell>
          <cell r="G55">
            <v>5.91E-2</v>
          </cell>
        </row>
        <row r="56">
          <cell r="A56">
            <v>1.3</v>
          </cell>
          <cell r="E56">
            <v>7.9500000000000001E-2</v>
          </cell>
          <cell r="F56">
            <v>0.1071</v>
          </cell>
          <cell r="G56">
            <v>6.6299999999999998E-2</v>
          </cell>
        </row>
        <row r="57">
          <cell r="A57">
            <v>1.4</v>
          </cell>
          <cell r="E57">
            <v>7.6499999999999999E-2</v>
          </cell>
          <cell r="F57">
            <v>0.1173</v>
          </cell>
          <cell r="G57">
            <v>4.5900000000000003E-2</v>
          </cell>
        </row>
        <row r="58">
          <cell r="A58">
            <v>1.5</v>
          </cell>
          <cell r="E58">
            <v>7.9500000000000001E-2</v>
          </cell>
          <cell r="F58">
            <v>8.1600000000000006E-2</v>
          </cell>
          <cell r="G58">
            <v>3.8699999999999998E-2</v>
          </cell>
        </row>
        <row r="59">
          <cell r="A59">
            <v>1.6</v>
          </cell>
          <cell r="E59">
            <v>6.3200000000000006E-2</v>
          </cell>
          <cell r="F59">
            <v>6.93E-2</v>
          </cell>
          <cell r="G59">
            <v>3.5700000000000003E-2</v>
          </cell>
        </row>
        <row r="60">
          <cell r="A60">
            <v>1.8</v>
          </cell>
          <cell r="E60">
            <v>8.3599999999999994E-2</v>
          </cell>
          <cell r="F60">
            <v>6.6299999999999998E-2</v>
          </cell>
          <cell r="G60">
            <v>3.0599999999999999E-2</v>
          </cell>
        </row>
        <row r="61">
          <cell r="A61">
            <v>2</v>
          </cell>
          <cell r="E61">
            <v>9.3799999999999994E-2</v>
          </cell>
          <cell r="F61">
            <v>5.91E-2</v>
          </cell>
          <cell r="G61">
            <v>2.24E-2</v>
          </cell>
        </row>
        <row r="62">
          <cell r="A62">
            <v>2.2000000000000002</v>
          </cell>
          <cell r="E62">
            <v>5.0999999999999997E-2</v>
          </cell>
          <cell r="F62">
            <v>4.8899999999999999E-2</v>
          </cell>
          <cell r="G62">
            <v>2.24E-2</v>
          </cell>
        </row>
        <row r="63">
          <cell r="A63">
            <v>2.5</v>
          </cell>
          <cell r="E63">
            <v>4.5900000000000003E-2</v>
          </cell>
          <cell r="F63">
            <v>4.5900000000000003E-2</v>
          </cell>
          <cell r="G63">
            <v>1.84E-2</v>
          </cell>
        </row>
        <row r="64">
          <cell r="A64">
            <v>2.8</v>
          </cell>
          <cell r="E64">
            <v>2.5499999999999998E-2</v>
          </cell>
          <cell r="F64">
            <v>2.5499999999999998E-2</v>
          </cell>
          <cell r="G64">
            <v>1.2200000000000001E-2</v>
          </cell>
        </row>
        <row r="65">
          <cell r="A65">
            <v>3</v>
          </cell>
          <cell r="E65">
            <v>2.0400000000000001E-2</v>
          </cell>
          <cell r="F65">
            <v>1.84E-2</v>
          </cell>
          <cell r="G65">
            <v>1.2200000000000001E-2</v>
          </cell>
        </row>
        <row r="66">
          <cell r="A66">
            <v>3.5</v>
          </cell>
          <cell r="E66">
            <v>1.84E-2</v>
          </cell>
          <cell r="F66">
            <v>1.5299999999999999E-2</v>
          </cell>
          <cell r="G66">
            <v>8.2000000000000007E-3</v>
          </cell>
        </row>
        <row r="67">
          <cell r="A67">
            <v>4</v>
          </cell>
          <cell r="E67">
            <v>1.2200000000000001E-2</v>
          </cell>
          <cell r="F67">
            <v>1.2200000000000001E-2</v>
          </cell>
          <cell r="G67">
            <v>5.1000000000000004E-3</v>
          </cell>
        </row>
        <row r="68">
          <cell r="A68">
            <v>4.5</v>
          </cell>
          <cell r="E68">
            <v>8.2000000000000007E-3</v>
          </cell>
          <cell r="F68">
            <v>1.0200000000000001E-2</v>
          </cell>
          <cell r="G68">
            <v>2E-3</v>
          </cell>
        </row>
        <row r="69">
          <cell r="A69">
            <v>5</v>
          </cell>
          <cell r="E69">
            <v>5.1000000000000004E-3</v>
          </cell>
          <cell r="F69">
            <v>6.1000000000000004E-3</v>
          </cell>
          <cell r="G69">
            <v>2E-3</v>
          </cell>
        </row>
      </sheetData>
      <sheetData sheetId="12">
        <row r="2">
          <cell r="E2" t="str">
            <v>Sismo2026-CIRS - EW (%g)</v>
          </cell>
          <cell r="F2" t="str">
            <v>Sismo2026-CIRS - NS (%g)</v>
          </cell>
          <cell r="G2" t="str">
            <v>Sismo2026-CIRS - Vert (%g)</v>
          </cell>
        </row>
        <row r="3">
          <cell r="A3">
            <v>0.01</v>
          </cell>
          <cell r="E3">
            <v>0.28349999999999997</v>
          </cell>
          <cell r="F3">
            <v>0.3957</v>
          </cell>
          <cell r="G3">
            <v>9.2799999999999994E-2</v>
          </cell>
        </row>
        <row r="4">
          <cell r="A4">
            <v>1.2E-2</v>
          </cell>
          <cell r="E4">
            <v>0.28139999999999998</v>
          </cell>
          <cell r="F4">
            <v>0.3967</v>
          </cell>
          <cell r="G4">
            <v>9.2799999999999994E-2</v>
          </cell>
        </row>
        <row r="5">
          <cell r="A5">
            <v>1.4E-2</v>
          </cell>
          <cell r="E5">
            <v>0.28249999999999997</v>
          </cell>
          <cell r="F5">
            <v>0.3977</v>
          </cell>
          <cell r="G5">
            <v>9.3799999999999994E-2</v>
          </cell>
        </row>
        <row r="6">
          <cell r="A6">
            <v>1.6E-2</v>
          </cell>
          <cell r="E6">
            <v>0.28349999999999997</v>
          </cell>
          <cell r="F6">
            <v>0.3997</v>
          </cell>
          <cell r="G6">
            <v>9.4799999999999995E-2</v>
          </cell>
        </row>
        <row r="7">
          <cell r="A7">
            <v>1.7999999999999999E-2</v>
          </cell>
          <cell r="E7">
            <v>0.28249999999999997</v>
          </cell>
          <cell r="F7">
            <v>0.3957</v>
          </cell>
          <cell r="G7">
            <v>9.7900000000000001E-2</v>
          </cell>
        </row>
        <row r="8">
          <cell r="A8">
            <v>0.02</v>
          </cell>
          <cell r="E8">
            <v>0.28039999999999998</v>
          </cell>
          <cell r="F8">
            <v>0.3967</v>
          </cell>
          <cell r="G8">
            <v>9.5899999999999999E-2</v>
          </cell>
        </row>
        <row r="9">
          <cell r="A9">
            <v>2.1999999999999999E-2</v>
          </cell>
          <cell r="E9">
            <v>0.28549999999999998</v>
          </cell>
          <cell r="F9">
            <v>0.3987</v>
          </cell>
          <cell r="G9">
            <v>9.5899999999999999E-2</v>
          </cell>
        </row>
        <row r="10">
          <cell r="A10">
            <v>2.5000000000000001E-2</v>
          </cell>
          <cell r="E10">
            <v>0.28649999999999998</v>
          </cell>
          <cell r="F10">
            <v>0.3977</v>
          </cell>
          <cell r="G10">
            <v>9.5899999999999999E-2</v>
          </cell>
        </row>
        <row r="11">
          <cell r="A11">
            <v>2.8000000000000001E-2</v>
          </cell>
          <cell r="E11">
            <v>0.28649999999999998</v>
          </cell>
          <cell r="F11">
            <v>0.3967</v>
          </cell>
          <cell r="G11">
            <v>9.4799999999999995E-2</v>
          </cell>
        </row>
        <row r="12">
          <cell r="A12">
            <v>0.03</v>
          </cell>
          <cell r="E12">
            <v>0.28760000000000002</v>
          </cell>
          <cell r="F12">
            <v>0.3957</v>
          </cell>
          <cell r="G12">
            <v>9.8900000000000002E-2</v>
          </cell>
        </row>
        <row r="13">
          <cell r="A13">
            <v>3.5000000000000003E-2</v>
          </cell>
          <cell r="E13">
            <v>0.29370000000000002</v>
          </cell>
          <cell r="F13">
            <v>0.40279999999999999</v>
          </cell>
          <cell r="G13">
            <v>0.104</v>
          </cell>
        </row>
        <row r="14">
          <cell r="A14">
            <v>0.04</v>
          </cell>
          <cell r="E14">
            <v>0.29780000000000001</v>
          </cell>
          <cell r="F14">
            <v>0.40579999999999999</v>
          </cell>
          <cell r="G14">
            <v>0.1162</v>
          </cell>
        </row>
        <row r="15">
          <cell r="A15">
            <v>4.4999999999999998E-2</v>
          </cell>
          <cell r="E15">
            <v>0.30080000000000001</v>
          </cell>
          <cell r="F15">
            <v>0.41089999999999999</v>
          </cell>
          <cell r="G15">
            <v>0.1152</v>
          </cell>
        </row>
        <row r="16">
          <cell r="A16">
            <v>0.05</v>
          </cell>
          <cell r="E16">
            <v>0.30590000000000001</v>
          </cell>
          <cell r="F16">
            <v>0.40989999999999999</v>
          </cell>
          <cell r="G16">
            <v>0.12239999999999999</v>
          </cell>
        </row>
        <row r="17">
          <cell r="A17">
            <v>5.5E-2</v>
          </cell>
          <cell r="E17">
            <v>0.32119999999999999</v>
          </cell>
          <cell r="F17">
            <v>0.40789999999999998</v>
          </cell>
          <cell r="G17">
            <v>0.1142</v>
          </cell>
        </row>
        <row r="18">
          <cell r="A18">
            <v>0.06</v>
          </cell>
          <cell r="E18">
            <v>0.32429999999999998</v>
          </cell>
          <cell r="F18">
            <v>0.42009999999999997</v>
          </cell>
          <cell r="G18">
            <v>0.1101</v>
          </cell>
        </row>
        <row r="19">
          <cell r="A19">
            <v>6.5000000000000002E-2</v>
          </cell>
          <cell r="E19">
            <v>0.31809999999999999</v>
          </cell>
          <cell r="F19">
            <v>0.4405</v>
          </cell>
          <cell r="G19">
            <v>0.1173</v>
          </cell>
        </row>
        <row r="20">
          <cell r="A20">
            <v>7.0000000000000007E-2</v>
          </cell>
          <cell r="E20">
            <v>0.34670000000000001</v>
          </cell>
          <cell r="F20">
            <v>0.46700000000000003</v>
          </cell>
          <cell r="G20">
            <v>0.1142</v>
          </cell>
        </row>
        <row r="21">
          <cell r="A21">
            <v>7.4999999999999997E-2</v>
          </cell>
          <cell r="E21">
            <v>0.34470000000000001</v>
          </cell>
          <cell r="F21">
            <v>0.46089999999999998</v>
          </cell>
          <cell r="G21">
            <v>0.1305</v>
          </cell>
        </row>
        <row r="22">
          <cell r="A22">
            <v>0.08</v>
          </cell>
          <cell r="E22">
            <v>0.34160000000000001</v>
          </cell>
          <cell r="F22">
            <v>0.48130000000000001</v>
          </cell>
          <cell r="G22">
            <v>0.15809999999999999</v>
          </cell>
        </row>
        <row r="23">
          <cell r="A23">
            <v>8.5000000000000006E-2</v>
          </cell>
          <cell r="E23">
            <v>0.37219999999999998</v>
          </cell>
          <cell r="F23">
            <v>0.46700000000000003</v>
          </cell>
          <cell r="G23">
            <v>0.21410000000000001</v>
          </cell>
        </row>
        <row r="24">
          <cell r="A24">
            <v>0.09</v>
          </cell>
          <cell r="E24">
            <v>0.38550000000000001</v>
          </cell>
          <cell r="F24">
            <v>0.45889999999999997</v>
          </cell>
          <cell r="G24">
            <v>0.23960000000000001</v>
          </cell>
        </row>
        <row r="25">
          <cell r="A25">
            <v>9.5000000000000001E-2</v>
          </cell>
          <cell r="E25">
            <v>0.40279999999999999</v>
          </cell>
          <cell r="F25">
            <v>0.47720000000000001</v>
          </cell>
          <cell r="G25">
            <v>0.2223</v>
          </cell>
        </row>
        <row r="26">
          <cell r="A26">
            <v>0.1</v>
          </cell>
          <cell r="E26">
            <v>0.41</v>
          </cell>
          <cell r="F26">
            <v>0.46089999999999998</v>
          </cell>
          <cell r="G26">
            <v>0.25290000000000001</v>
          </cell>
        </row>
        <row r="27">
          <cell r="A27">
            <v>0.11</v>
          </cell>
          <cell r="E27">
            <v>0.42320000000000002</v>
          </cell>
          <cell r="F27">
            <v>0.45379999999999998</v>
          </cell>
          <cell r="G27">
            <v>0.2039</v>
          </cell>
        </row>
        <row r="28">
          <cell r="A28">
            <v>0.12</v>
          </cell>
          <cell r="E28">
            <v>0.49969999999999998</v>
          </cell>
          <cell r="F28">
            <v>0.51800000000000002</v>
          </cell>
          <cell r="G28">
            <v>0.19370000000000001</v>
          </cell>
        </row>
        <row r="29">
          <cell r="A29">
            <v>0.13</v>
          </cell>
          <cell r="E29">
            <v>0.5282</v>
          </cell>
          <cell r="F29">
            <v>0.56589999999999996</v>
          </cell>
          <cell r="G29">
            <v>0.25290000000000001</v>
          </cell>
        </row>
        <row r="30">
          <cell r="A30">
            <v>0.14000000000000001</v>
          </cell>
          <cell r="E30">
            <v>0.45889999999999997</v>
          </cell>
          <cell r="F30">
            <v>0.52210000000000001</v>
          </cell>
          <cell r="G30">
            <v>0.23449999999999999</v>
          </cell>
        </row>
        <row r="31">
          <cell r="A31">
            <v>0.15</v>
          </cell>
          <cell r="E31">
            <v>0.50170000000000003</v>
          </cell>
          <cell r="F31">
            <v>0.5323</v>
          </cell>
          <cell r="G31">
            <v>0.1958</v>
          </cell>
        </row>
        <row r="32">
          <cell r="A32">
            <v>0.16</v>
          </cell>
          <cell r="E32">
            <v>0.46910000000000002</v>
          </cell>
          <cell r="F32">
            <v>0.50170000000000003</v>
          </cell>
          <cell r="G32">
            <v>0.21920000000000001</v>
          </cell>
        </row>
        <row r="33">
          <cell r="A33">
            <v>0.17</v>
          </cell>
          <cell r="E33">
            <v>0.48949999999999999</v>
          </cell>
          <cell r="F33">
            <v>0.60980000000000001</v>
          </cell>
          <cell r="G33">
            <v>0.23250000000000001</v>
          </cell>
        </row>
        <row r="34">
          <cell r="A34">
            <v>0.18</v>
          </cell>
          <cell r="E34">
            <v>0.46700000000000003</v>
          </cell>
          <cell r="F34">
            <v>0.69540000000000002</v>
          </cell>
          <cell r="G34">
            <v>0.2702</v>
          </cell>
        </row>
        <row r="35">
          <cell r="A35">
            <v>0.19</v>
          </cell>
          <cell r="E35">
            <v>0.51190000000000002</v>
          </cell>
          <cell r="F35">
            <v>0.76480000000000004</v>
          </cell>
          <cell r="G35">
            <v>0.28349999999999997</v>
          </cell>
        </row>
        <row r="36">
          <cell r="A36">
            <v>0.2</v>
          </cell>
          <cell r="E36">
            <v>0.54549999999999998</v>
          </cell>
          <cell r="F36">
            <v>0.79330000000000001</v>
          </cell>
          <cell r="G36">
            <v>0.31409999999999999</v>
          </cell>
        </row>
        <row r="37">
          <cell r="A37">
            <v>0.22</v>
          </cell>
          <cell r="E37">
            <v>0.60370000000000001</v>
          </cell>
          <cell r="F37">
            <v>0.72399999999999998</v>
          </cell>
          <cell r="G37">
            <v>0.28549999999999998</v>
          </cell>
        </row>
        <row r="38">
          <cell r="A38">
            <v>0.24</v>
          </cell>
          <cell r="E38">
            <v>0.60160000000000002</v>
          </cell>
          <cell r="F38">
            <v>0.66279999999999994</v>
          </cell>
          <cell r="G38">
            <v>0.25490000000000002</v>
          </cell>
        </row>
        <row r="39">
          <cell r="A39">
            <v>0.25</v>
          </cell>
          <cell r="E39">
            <v>0.63219999999999998</v>
          </cell>
          <cell r="F39">
            <v>0.73619999999999997</v>
          </cell>
          <cell r="G39">
            <v>0.31609999999999999</v>
          </cell>
        </row>
        <row r="40">
          <cell r="A40">
            <v>0.26</v>
          </cell>
          <cell r="E40">
            <v>0.63429999999999997</v>
          </cell>
          <cell r="F40">
            <v>0.77500000000000002</v>
          </cell>
          <cell r="G40">
            <v>0.34670000000000001</v>
          </cell>
        </row>
        <row r="41">
          <cell r="A41">
            <v>0.27</v>
          </cell>
          <cell r="E41">
            <v>0.6169</v>
          </cell>
          <cell r="F41">
            <v>0.75660000000000005</v>
          </cell>
          <cell r="G41">
            <v>0.34470000000000001</v>
          </cell>
        </row>
        <row r="42">
          <cell r="A42">
            <v>0.28000000000000003</v>
          </cell>
          <cell r="E42">
            <v>0.58330000000000004</v>
          </cell>
          <cell r="F42">
            <v>0.77290000000000003</v>
          </cell>
          <cell r="G42">
            <v>0.3977</v>
          </cell>
        </row>
        <row r="43">
          <cell r="A43">
            <v>0.28999999999999998</v>
          </cell>
          <cell r="E43">
            <v>0.6169</v>
          </cell>
          <cell r="F43">
            <v>0.73219999999999996</v>
          </cell>
          <cell r="G43">
            <v>0.42320000000000002</v>
          </cell>
        </row>
        <row r="44">
          <cell r="A44">
            <v>0.31</v>
          </cell>
          <cell r="E44">
            <v>0.59140000000000004</v>
          </cell>
          <cell r="F44">
            <v>0.78010000000000002</v>
          </cell>
          <cell r="G44">
            <v>0.3977</v>
          </cell>
        </row>
        <row r="45">
          <cell r="A45">
            <v>0.33</v>
          </cell>
          <cell r="E45">
            <v>0.55059999999999998</v>
          </cell>
          <cell r="F45">
            <v>0.84130000000000005</v>
          </cell>
          <cell r="G45">
            <v>0.34670000000000001</v>
          </cell>
        </row>
        <row r="46">
          <cell r="A46">
            <v>0.35</v>
          </cell>
          <cell r="E46">
            <v>0.62409999999999999</v>
          </cell>
          <cell r="F46">
            <v>0.95340000000000003</v>
          </cell>
          <cell r="G46">
            <v>0.2651</v>
          </cell>
        </row>
        <row r="47">
          <cell r="A47">
            <v>0.38</v>
          </cell>
          <cell r="E47">
            <v>0.78010000000000002</v>
          </cell>
          <cell r="F47">
            <v>0.89229999999999998</v>
          </cell>
          <cell r="G47">
            <v>0.22939999999999999</v>
          </cell>
        </row>
        <row r="48">
          <cell r="A48">
            <v>0.4</v>
          </cell>
          <cell r="E48">
            <v>0.85860000000000003</v>
          </cell>
          <cell r="F48">
            <v>1.1727000000000001</v>
          </cell>
          <cell r="G48">
            <v>0.2019</v>
          </cell>
        </row>
        <row r="49">
          <cell r="A49">
            <v>0.42</v>
          </cell>
          <cell r="E49">
            <v>0.90959999999999996</v>
          </cell>
          <cell r="F49">
            <v>1.3613</v>
          </cell>
          <cell r="G49">
            <v>0.1784</v>
          </cell>
        </row>
        <row r="50">
          <cell r="A50">
            <v>0.44</v>
          </cell>
          <cell r="E50">
            <v>0.82089999999999996</v>
          </cell>
          <cell r="F50">
            <v>1.3051999999999999</v>
          </cell>
          <cell r="G50">
            <v>0.1784</v>
          </cell>
        </row>
        <row r="51">
          <cell r="A51">
            <v>0.46</v>
          </cell>
          <cell r="E51">
            <v>0.86680000000000001</v>
          </cell>
          <cell r="F51">
            <v>1.3766</v>
          </cell>
          <cell r="G51">
            <v>0.1754</v>
          </cell>
        </row>
        <row r="52">
          <cell r="A52">
            <v>0.5</v>
          </cell>
          <cell r="E52">
            <v>1.1216999999999999</v>
          </cell>
          <cell r="F52">
            <v>1.6518999999999999</v>
          </cell>
          <cell r="G52">
            <v>0.18149999999999999</v>
          </cell>
        </row>
        <row r="53">
          <cell r="A53">
            <v>0.52</v>
          </cell>
          <cell r="E53">
            <v>1.4378</v>
          </cell>
          <cell r="F53">
            <v>1.8354999999999999</v>
          </cell>
          <cell r="G53">
            <v>0.16819999999999999</v>
          </cell>
        </row>
        <row r="54">
          <cell r="A54">
            <v>0.54</v>
          </cell>
          <cell r="E54">
            <v>1.5092000000000001</v>
          </cell>
          <cell r="F54">
            <v>2.0343</v>
          </cell>
          <cell r="G54">
            <v>0.14069999999999999</v>
          </cell>
        </row>
        <row r="55">
          <cell r="A55">
            <v>0.56000000000000005</v>
          </cell>
          <cell r="E55">
            <v>1.657</v>
          </cell>
          <cell r="F55">
            <v>1.9375</v>
          </cell>
          <cell r="G55">
            <v>0.1203</v>
          </cell>
        </row>
        <row r="56">
          <cell r="A56">
            <v>0.57999999999999996</v>
          </cell>
          <cell r="E56">
            <v>1.3868</v>
          </cell>
          <cell r="F56">
            <v>2.0394000000000001</v>
          </cell>
          <cell r="G56">
            <v>0.1346</v>
          </cell>
        </row>
        <row r="57">
          <cell r="A57">
            <v>0.6</v>
          </cell>
          <cell r="E57">
            <v>1.5092000000000001</v>
          </cell>
          <cell r="F57">
            <v>1.968</v>
          </cell>
          <cell r="G57">
            <v>0.1244</v>
          </cell>
        </row>
        <row r="58">
          <cell r="A58">
            <v>0.65</v>
          </cell>
          <cell r="E58">
            <v>1.1420999999999999</v>
          </cell>
          <cell r="F58">
            <v>1.3255999999999999</v>
          </cell>
          <cell r="G58">
            <v>0.1101</v>
          </cell>
        </row>
        <row r="59">
          <cell r="A59">
            <v>0.7</v>
          </cell>
          <cell r="E59">
            <v>0.69340000000000002</v>
          </cell>
          <cell r="F59">
            <v>0.76480000000000004</v>
          </cell>
          <cell r="G59">
            <v>0.13769999999999999</v>
          </cell>
        </row>
        <row r="60">
          <cell r="A60">
            <v>0.75</v>
          </cell>
          <cell r="E60">
            <v>0.57099999999999995</v>
          </cell>
          <cell r="F60">
            <v>0.5323</v>
          </cell>
          <cell r="G60">
            <v>0.1275</v>
          </cell>
        </row>
        <row r="61">
          <cell r="A61">
            <v>0.8</v>
          </cell>
          <cell r="E61">
            <v>0.45889999999999997</v>
          </cell>
          <cell r="F61">
            <v>0.48949999999999999</v>
          </cell>
          <cell r="G61">
            <v>8.6699999999999999E-2</v>
          </cell>
        </row>
        <row r="62">
          <cell r="A62">
            <v>0.85</v>
          </cell>
          <cell r="E62">
            <v>0.31809999999999999</v>
          </cell>
          <cell r="F62">
            <v>0.3518</v>
          </cell>
          <cell r="G62">
            <v>6.3200000000000006E-2</v>
          </cell>
        </row>
        <row r="63">
          <cell r="A63">
            <v>0.9</v>
          </cell>
          <cell r="E63">
            <v>0.22939999999999999</v>
          </cell>
          <cell r="F63">
            <v>0.28549999999999998</v>
          </cell>
          <cell r="G63">
            <v>6.4199999999999993E-2</v>
          </cell>
        </row>
        <row r="64">
          <cell r="A64">
            <v>0.95</v>
          </cell>
          <cell r="E64">
            <v>0.18149999999999999</v>
          </cell>
          <cell r="F64">
            <v>0.23960000000000001</v>
          </cell>
          <cell r="G64">
            <v>6.1199999999999997E-2</v>
          </cell>
        </row>
        <row r="65">
          <cell r="A65">
            <v>1</v>
          </cell>
          <cell r="E65">
            <v>0.14480000000000001</v>
          </cell>
          <cell r="F65">
            <v>0.22939999999999999</v>
          </cell>
          <cell r="G65">
            <v>4.2799999999999998E-2</v>
          </cell>
        </row>
        <row r="66">
          <cell r="A66">
            <v>1.1000000000000001</v>
          </cell>
          <cell r="E66">
            <v>0.1173</v>
          </cell>
          <cell r="F66">
            <v>0.2039</v>
          </cell>
          <cell r="G66">
            <v>3.8699999999999998E-2</v>
          </cell>
        </row>
        <row r="67">
          <cell r="A67">
            <v>1.2</v>
          </cell>
          <cell r="E67">
            <v>0.1101</v>
          </cell>
          <cell r="F67">
            <v>0.18859999999999999</v>
          </cell>
          <cell r="G67">
            <v>4.0800000000000003E-2</v>
          </cell>
        </row>
        <row r="68">
          <cell r="A68">
            <v>1.3</v>
          </cell>
          <cell r="E68">
            <v>0.11219999999999999</v>
          </cell>
          <cell r="F68">
            <v>0.12239999999999999</v>
          </cell>
          <cell r="G68">
            <v>3.2599999999999997E-2</v>
          </cell>
        </row>
        <row r="69">
          <cell r="A69">
            <v>1.4</v>
          </cell>
          <cell r="E69">
            <v>0.104</v>
          </cell>
          <cell r="F69">
            <v>0.104</v>
          </cell>
          <cell r="G69">
            <v>3.0599999999999999E-2</v>
          </cell>
        </row>
        <row r="70">
          <cell r="A70">
            <v>1.5</v>
          </cell>
          <cell r="E70">
            <v>0.1101</v>
          </cell>
          <cell r="F70">
            <v>9.1800000000000007E-2</v>
          </cell>
          <cell r="G70">
            <v>2.86E-2</v>
          </cell>
        </row>
        <row r="71">
          <cell r="A71">
            <v>1.6</v>
          </cell>
          <cell r="E71">
            <v>8.1600000000000006E-2</v>
          </cell>
          <cell r="F71">
            <v>8.3599999999999994E-2</v>
          </cell>
          <cell r="G71">
            <v>1.84E-2</v>
          </cell>
        </row>
        <row r="72">
          <cell r="A72">
            <v>1.8</v>
          </cell>
          <cell r="E72">
            <v>5.6099999999999997E-2</v>
          </cell>
          <cell r="F72">
            <v>5.2999999999999999E-2</v>
          </cell>
          <cell r="G72">
            <v>2.0400000000000001E-2</v>
          </cell>
        </row>
        <row r="73">
          <cell r="A73">
            <v>2</v>
          </cell>
          <cell r="E73">
            <v>5.6099999999999997E-2</v>
          </cell>
          <cell r="F73">
            <v>5.91E-2</v>
          </cell>
          <cell r="G73">
            <v>2.1399999999999999E-2</v>
          </cell>
        </row>
        <row r="74">
          <cell r="A74">
            <v>2.2000000000000002</v>
          </cell>
          <cell r="E74">
            <v>4.8899999999999999E-2</v>
          </cell>
          <cell r="F74">
            <v>5.0999999999999997E-2</v>
          </cell>
          <cell r="G74">
            <v>1.5299999999999999E-2</v>
          </cell>
        </row>
        <row r="75">
          <cell r="A75">
            <v>2.5</v>
          </cell>
          <cell r="E75">
            <v>3.2599999999999997E-2</v>
          </cell>
          <cell r="F75">
            <v>2.86E-2</v>
          </cell>
          <cell r="G75">
            <v>8.2000000000000007E-3</v>
          </cell>
        </row>
        <row r="76">
          <cell r="A76">
            <v>2.8</v>
          </cell>
          <cell r="E76">
            <v>2.5499999999999998E-2</v>
          </cell>
          <cell r="F76">
            <v>2.24E-2</v>
          </cell>
          <cell r="G76">
            <v>6.1000000000000004E-3</v>
          </cell>
        </row>
        <row r="77">
          <cell r="A77">
            <v>3</v>
          </cell>
          <cell r="E77">
            <v>2.6499999999999999E-2</v>
          </cell>
          <cell r="F77">
            <v>2.0400000000000001E-2</v>
          </cell>
          <cell r="G77">
            <v>5.1000000000000004E-3</v>
          </cell>
        </row>
        <row r="78">
          <cell r="A78">
            <v>3.5</v>
          </cell>
          <cell r="E78">
            <v>1.5299999999999999E-2</v>
          </cell>
          <cell r="F78">
            <v>1.6299999999999999E-2</v>
          </cell>
          <cell r="G78">
            <v>4.1000000000000003E-3</v>
          </cell>
        </row>
        <row r="79">
          <cell r="A79">
            <v>4</v>
          </cell>
          <cell r="E79">
            <v>1.2200000000000001E-2</v>
          </cell>
          <cell r="F79">
            <v>1.2200000000000001E-2</v>
          </cell>
          <cell r="G79">
            <v>3.0999999999999999E-3</v>
          </cell>
        </row>
        <row r="80">
          <cell r="A80">
            <v>4.5</v>
          </cell>
          <cell r="E80">
            <v>8.2000000000000007E-3</v>
          </cell>
          <cell r="F80">
            <v>1.0200000000000001E-2</v>
          </cell>
          <cell r="G80">
            <v>2E-3</v>
          </cell>
        </row>
        <row r="81">
          <cell r="A81">
            <v>5</v>
          </cell>
          <cell r="E81">
            <v>6.1000000000000004E-3</v>
          </cell>
          <cell r="F81">
            <v>8.2000000000000007E-3</v>
          </cell>
          <cell r="G81">
            <v>2E-3</v>
          </cell>
        </row>
      </sheetData>
      <sheetData sheetId="13">
        <row r="2">
          <cell r="E2" t="str">
            <v>EW (%g)</v>
          </cell>
          <cell r="F2" t="str">
            <v>NS (%g)</v>
          </cell>
          <cell r="G2" t="str">
            <v>V (%g)</v>
          </cell>
        </row>
        <row r="3">
          <cell r="A3">
            <v>0.01</v>
          </cell>
          <cell r="E3">
            <v>0.33650000000000002</v>
          </cell>
          <cell r="F3">
            <v>0.36509999999999998</v>
          </cell>
          <cell r="G3">
            <v>8.1600000000000006E-2</v>
          </cell>
        </row>
        <row r="4">
          <cell r="A4">
            <v>1.2E-2</v>
          </cell>
          <cell r="E4">
            <v>0.34670000000000001</v>
          </cell>
          <cell r="F4">
            <v>0.33450000000000002</v>
          </cell>
          <cell r="G4">
            <v>7.3400000000000007E-2</v>
          </cell>
        </row>
        <row r="5">
          <cell r="A5">
            <v>1.4E-2</v>
          </cell>
          <cell r="E5">
            <v>0.3589</v>
          </cell>
          <cell r="F5">
            <v>0.34870000000000001</v>
          </cell>
          <cell r="G5">
            <v>7.3400000000000007E-2</v>
          </cell>
        </row>
        <row r="6">
          <cell r="A6">
            <v>1.6E-2</v>
          </cell>
          <cell r="E6">
            <v>0.36509999999999998</v>
          </cell>
          <cell r="F6">
            <v>0.28549999999999998</v>
          </cell>
          <cell r="G6">
            <v>7.6499999999999999E-2</v>
          </cell>
        </row>
        <row r="7">
          <cell r="A7">
            <v>1.7999999999999999E-2</v>
          </cell>
          <cell r="E7">
            <v>0.4385</v>
          </cell>
          <cell r="F7">
            <v>0.26</v>
          </cell>
          <cell r="G7">
            <v>7.9500000000000001E-2</v>
          </cell>
        </row>
        <row r="8">
          <cell r="A8">
            <v>0.02</v>
          </cell>
          <cell r="E8">
            <v>0.45069999999999999</v>
          </cell>
          <cell r="F8">
            <v>0.28549999999999998</v>
          </cell>
          <cell r="G8">
            <v>7.1400000000000005E-2</v>
          </cell>
        </row>
        <row r="9">
          <cell r="A9">
            <v>2.1999999999999999E-2</v>
          </cell>
          <cell r="E9">
            <v>0.4844</v>
          </cell>
          <cell r="F9">
            <v>0.29060000000000002</v>
          </cell>
          <cell r="G9">
            <v>7.3400000000000007E-2</v>
          </cell>
        </row>
        <row r="10">
          <cell r="A10">
            <v>2.5000000000000001E-2</v>
          </cell>
          <cell r="E10">
            <v>0.4405</v>
          </cell>
          <cell r="F10">
            <v>0.2651</v>
          </cell>
          <cell r="G10">
            <v>7.4399999999999994E-2</v>
          </cell>
        </row>
        <row r="11">
          <cell r="A11">
            <v>2.8000000000000001E-2</v>
          </cell>
          <cell r="E11">
            <v>0.46700000000000003</v>
          </cell>
          <cell r="F11">
            <v>0.22939999999999999</v>
          </cell>
          <cell r="G11">
            <v>7.3400000000000007E-2</v>
          </cell>
        </row>
        <row r="12">
          <cell r="A12">
            <v>0.03</v>
          </cell>
          <cell r="E12">
            <v>0.45069999999999999</v>
          </cell>
          <cell r="F12">
            <v>0.23760000000000001</v>
          </cell>
          <cell r="G12">
            <v>7.6499999999999999E-2</v>
          </cell>
        </row>
        <row r="13">
          <cell r="A13">
            <v>3.5000000000000003E-2</v>
          </cell>
          <cell r="E13">
            <v>0.37219999999999998</v>
          </cell>
          <cell r="F13">
            <v>0.2162</v>
          </cell>
          <cell r="G13">
            <v>7.7499999999999999E-2</v>
          </cell>
        </row>
        <row r="14">
          <cell r="A14">
            <v>0.04</v>
          </cell>
          <cell r="E14">
            <v>0.3548</v>
          </cell>
          <cell r="F14">
            <v>0.2039</v>
          </cell>
          <cell r="G14">
            <v>7.9500000000000001E-2</v>
          </cell>
        </row>
        <row r="15">
          <cell r="A15">
            <v>4.4999999999999998E-2</v>
          </cell>
          <cell r="E15">
            <v>0.32829999999999998</v>
          </cell>
          <cell r="F15">
            <v>0.2039</v>
          </cell>
          <cell r="G15">
            <v>7.6499999999999999E-2</v>
          </cell>
        </row>
        <row r="16">
          <cell r="A16">
            <v>0.05</v>
          </cell>
          <cell r="E16">
            <v>0.3039</v>
          </cell>
          <cell r="F16">
            <v>0.1958</v>
          </cell>
          <cell r="G16">
            <v>7.6499999999999999E-2</v>
          </cell>
        </row>
        <row r="17">
          <cell r="A17">
            <v>5.5E-2</v>
          </cell>
          <cell r="E17">
            <v>0.28349999999999997</v>
          </cell>
          <cell r="F17">
            <v>0.18559999999999999</v>
          </cell>
          <cell r="G17">
            <v>7.4399999999999994E-2</v>
          </cell>
        </row>
        <row r="18">
          <cell r="A18">
            <v>0.06</v>
          </cell>
          <cell r="E18">
            <v>0.27529999999999999</v>
          </cell>
          <cell r="F18">
            <v>0.17330000000000001</v>
          </cell>
          <cell r="G18">
            <v>7.4399999999999994E-2</v>
          </cell>
        </row>
        <row r="19">
          <cell r="A19">
            <v>7.0000000000000007E-2</v>
          </cell>
          <cell r="E19">
            <v>0.2223</v>
          </cell>
          <cell r="F19">
            <v>0.17130000000000001</v>
          </cell>
          <cell r="G19">
            <v>8.1600000000000006E-2</v>
          </cell>
        </row>
        <row r="20">
          <cell r="A20">
            <v>0.08</v>
          </cell>
          <cell r="E20">
            <v>0.2223</v>
          </cell>
          <cell r="F20">
            <v>0.1784</v>
          </cell>
          <cell r="G20">
            <v>7.9500000000000001E-2</v>
          </cell>
        </row>
        <row r="21">
          <cell r="A21">
            <v>0.09</v>
          </cell>
          <cell r="E21">
            <v>0.21210000000000001</v>
          </cell>
          <cell r="F21">
            <v>0.18659999999999999</v>
          </cell>
          <cell r="G21">
            <v>7.6499999999999999E-2</v>
          </cell>
        </row>
        <row r="22">
          <cell r="A22">
            <v>0.1</v>
          </cell>
          <cell r="E22">
            <v>0.20599999999999999</v>
          </cell>
          <cell r="F22">
            <v>0.18859999999999999</v>
          </cell>
          <cell r="G22">
            <v>0.104</v>
          </cell>
        </row>
        <row r="23">
          <cell r="A23">
            <v>0.11</v>
          </cell>
          <cell r="E23">
            <v>0.21210000000000001</v>
          </cell>
          <cell r="F23">
            <v>0.1988</v>
          </cell>
          <cell r="G23">
            <v>0.1101</v>
          </cell>
        </row>
        <row r="24">
          <cell r="A24">
            <v>0.12</v>
          </cell>
          <cell r="E24">
            <v>0.20899999999999999</v>
          </cell>
          <cell r="F24">
            <v>0.20599999999999999</v>
          </cell>
          <cell r="G24">
            <v>8.1600000000000006E-2</v>
          </cell>
        </row>
        <row r="25">
          <cell r="A25">
            <v>0.13</v>
          </cell>
          <cell r="E25">
            <v>0.2223</v>
          </cell>
          <cell r="F25">
            <v>0.2019</v>
          </cell>
          <cell r="G25">
            <v>0.104</v>
          </cell>
        </row>
        <row r="26">
          <cell r="A26">
            <v>0.14000000000000001</v>
          </cell>
          <cell r="E26">
            <v>0.2447</v>
          </cell>
          <cell r="F26">
            <v>0.1958</v>
          </cell>
          <cell r="G26">
            <v>0.12239999999999999</v>
          </cell>
        </row>
        <row r="27">
          <cell r="A27">
            <v>0.15</v>
          </cell>
          <cell r="E27">
            <v>0.24679999999999999</v>
          </cell>
          <cell r="F27">
            <v>0.2019</v>
          </cell>
          <cell r="G27">
            <v>0.1203</v>
          </cell>
        </row>
        <row r="28">
          <cell r="A28">
            <v>0.16</v>
          </cell>
          <cell r="E28">
            <v>0.2702</v>
          </cell>
          <cell r="F28">
            <v>0.1988</v>
          </cell>
          <cell r="G28">
            <v>0.14069999999999999</v>
          </cell>
        </row>
        <row r="29">
          <cell r="A29">
            <v>0.17</v>
          </cell>
          <cell r="E29">
            <v>0.2631</v>
          </cell>
          <cell r="F29">
            <v>0.22639999999999999</v>
          </cell>
          <cell r="G29">
            <v>0.15290000000000001</v>
          </cell>
        </row>
        <row r="30">
          <cell r="A30">
            <v>0.18</v>
          </cell>
          <cell r="E30">
            <v>0.2631</v>
          </cell>
          <cell r="F30">
            <v>0.21410000000000001</v>
          </cell>
          <cell r="G30">
            <v>0.14069999999999999</v>
          </cell>
        </row>
        <row r="31">
          <cell r="A31">
            <v>0.19</v>
          </cell>
          <cell r="E31">
            <v>0.2447</v>
          </cell>
          <cell r="F31">
            <v>0.2223</v>
          </cell>
          <cell r="G31">
            <v>0.16320000000000001</v>
          </cell>
        </row>
        <row r="32">
          <cell r="A32">
            <v>0.21</v>
          </cell>
          <cell r="E32">
            <v>0.27529999999999999</v>
          </cell>
          <cell r="F32">
            <v>0.23250000000000001</v>
          </cell>
          <cell r="G32">
            <v>0.14280000000000001</v>
          </cell>
        </row>
        <row r="33">
          <cell r="A33">
            <v>0.23</v>
          </cell>
          <cell r="E33">
            <v>0.29570000000000002</v>
          </cell>
          <cell r="F33">
            <v>0.22639999999999999</v>
          </cell>
          <cell r="G33">
            <v>0.15809999999999999</v>
          </cell>
        </row>
        <row r="34">
          <cell r="A34">
            <v>0.25</v>
          </cell>
          <cell r="E34">
            <v>0.28549999999999998</v>
          </cell>
          <cell r="F34">
            <v>0.25490000000000002</v>
          </cell>
          <cell r="G34">
            <v>0.18859999999999999</v>
          </cell>
        </row>
        <row r="35">
          <cell r="A35">
            <v>0.27</v>
          </cell>
          <cell r="E35">
            <v>0.31809999999999999</v>
          </cell>
          <cell r="F35">
            <v>0.2631</v>
          </cell>
          <cell r="G35">
            <v>0.2223</v>
          </cell>
        </row>
        <row r="36">
          <cell r="A36">
            <v>0.28999999999999998</v>
          </cell>
          <cell r="E36">
            <v>0.33139999999999997</v>
          </cell>
          <cell r="F36">
            <v>0.2427</v>
          </cell>
          <cell r="G36">
            <v>0.19170000000000001</v>
          </cell>
        </row>
        <row r="37">
          <cell r="A37">
            <v>0.31</v>
          </cell>
          <cell r="E37">
            <v>0.30080000000000001</v>
          </cell>
          <cell r="F37">
            <v>0.27739999999999998</v>
          </cell>
          <cell r="G37">
            <v>0.22939999999999999</v>
          </cell>
        </row>
        <row r="38">
          <cell r="A38">
            <v>0.34</v>
          </cell>
          <cell r="E38">
            <v>0.33450000000000002</v>
          </cell>
          <cell r="F38">
            <v>0.28039999999999998</v>
          </cell>
          <cell r="G38">
            <v>0.21920000000000001</v>
          </cell>
        </row>
        <row r="39">
          <cell r="A39">
            <v>0.37</v>
          </cell>
          <cell r="E39">
            <v>0.36909999999999998</v>
          </cell>
          <cell r="F39">
            <v>0.33450000000000002</v>
          </cell>
          <cell r="G39">
            <v>0.1784</v>
          </cell>
        </row>
        <row r="40">
          <cell r="A40">
            <v>0.4</v>
          </cell>
          <cell r="E40">
            <v>0.4405</v>
          </cell>
          <cell r="F40">
            <v>0.3926</v>
          </cell>
          <cell r="G40">
            <v>0.19370000000000001</v>
          </cell>
        </row>
        <row r="41">
          <cell r="A41">
            <v>0.43</v>
          </cell>
          <cell r="E41">
            <v>0.55059999999999998</v>
          </cell>
          <cell r="F41">
            <v>0.51190000000000002</v>
          </cell>
          <cell r="G41">
            <v>0.16320000000000001</v>
          </cell>
        </row>
        <row r="42">
          <cell r="A42">
            <v>0.46</v>
          </cell>
          <cell r="E42">
            <v>0.5353</v>
          </cell>
          <cell r="F42">
            <v>0.50170000000000003</v>
          </cell>
          <cell r="G42">
            <v>0.15809999999999999</v>
          </cell>
        </row>
        <row r="43">
          <cell r="A43">
            <v>0.49</v>
          </cell>
          <cell r="E43">
            <v>0.63729999999999998</v>
          </cell>
          <cell r="F43">
            <v>0.56589999999999996</v>
          </cell>
          <cell r="G43">
            <v>0.1346</v>
          </cell>
        </row>
        <row r="44">
          <cell r="A44">
            <v>0.52</v>
          </cell>
          <cell r="E44">
            <v>0.7954</v>
          </cell>
          <cell r="F44">
            <v>0.69540000000000002</v>
          </cell>
          <cell r="G44">
            <v>0.1784</v>
          </cell>
        </row>
        <row r="45">
          <cell r="A45">
            <v>0.55000000000000004</v>
          </cell>
          <cell r="E45">
            <v>0.83109999999999995</v>
          </cell>
          <cell r="F45">
            <v>0.78720000000000001</v>
          </cell>
          <cell r="G45">
            <v>0.19170000000000001</v>
          </cell>
        </row>
        <row r="46">
          <cell r="A46">
            <v>0.57999999999999996</v>
          </cell>
          <cell r="E46">
            <v>0.81779999999999997</v>
          </cell>
          <cell r="F46">
            <v>0.86680000000000001</v>
          </cell>
          <cell r="G46">
            <v>0.2019</v>
          </cell>
        </row>
        <row r="47">
          <cell r="A47">
            <v>0.62</v>
          </cell>
          <cell r="E47">
            <v>1.0503</v>
          </cell>
          <cell r="F47">
            <v>0.7954</v>
          </cell>
          <cell r="G47">
            <v>0.1835</v>
          </cell>
        </row>
        <row r="48">
          <cell r="A48">
            <v>0.65</v>
          </cell>
          <cell r="E48">
            <v>0.95850000000000002</v>
          </cell>
          <cell r="F48">
            <v>1.0218</v>
          </cell>
          <cell r="G48">
            <v>0.18559999999999999</v>
          </cell>
        </row>
        <row r="49">
          <cell r="A49">
            <v>0.7</v>
          </cell>
          <cell r="E49">
            <v>0.622</v>
          </cell>
          <cell r="F49">
            <v>0.63729999999999998</v>
          </cell>
          <cell r="G49">
            <v>0.11219999999999999</v>
          </cell>
        </row>
        <row r="50">
          <cell r="A50">
            <v>0.75</v>
          </cell>
          <cell r="E50">
            <v>0.42009999999999997</v>
          </cell>
          <cell r="F50">
            <v>0.48949999999999999</v>
          </cell>
          <cell r="G50">
            <v>0.10199999999999999</v>
          </cell>
        </row>
        <row r="51">
          <cell r="A51">
            <v>0.8</v>
          </cell>
          <cell r="E51">
            <v>0.42009999999999997</v>
          </cell>
          <cell r="F51">
            <v>0.37730000000000002</v>
          </cell>
          <cell r="G51">
            <v>9.9900000000000003E-2</v>
          </cell>
        </row>
        <row r="52">
          <cell r="A52">
            <v>0.85</v>
          </cell>
          <cell r="E52">
            <v>0.38550000000000001</v>
          </cell>
          <cell r="F52">
            <v>0.38750000000000001</v>
          </cell>
          <cell r="G52">
            <v>7.3400000000000007E-2</v>
          </cell>
        </row>
        <row r="53">
          <cell r="A53">
            <v>0.9</v>
          </cell>
          <cell r="E53">
            <v>0.32629999999999998</v>
          </cell>
          <cell r="F53">
            <v>0.33450000000000002</v>
          </cell>
          <cell r="G53">
            <v>5.2999999999999999E-2</v>
          </cell>
        </row>
        <row r="54">
          <cell r="A54">
            <v>0.95</v>
          </cell>
          <cell r="E54">
            <v>0.32829999999999998</v>
          </cell>
          <cell r="F54">
            <v>0.311</v>
          </cell>
          <cell r="G54">
            <v>4.5900000000000003E-2</v>
          </cell>
        </row>
        <row r="55">
          <cell r="A55">
            <v>1</v>
          </cell>
          <cell r="E55">
            <v>0.21210000000000001</v>
          </cell>
          <cell r="F55">
            <v>0.27529999999999999</v>
          </cell>
          <cell r="G55">
            <v>4.0800000000000003E-2</v>
          </cell>
        </row>
        <row r="56">
          <cell r="A56">
            <v>1.1000000000000001</v>
          </cell>
          <cell r="E56">
            <v>0.14069999999999999</v>
          </cell>
          <cell r="F56">
            <v>0.21920000000000001</v>
          </cell>
          <cell r="G56">
            <v>4.5900000000000003E-2</v>
          </cell>
        </row>
        <row r="57">
          <cell r="A57">
            <v>1.2</v>
          </cell>
          <cell r="E57">
            <v>9.3799999999999994E-2</v>
          </cell>
          <cell r="F57">
            <v>0.21920000000000001</v>
          </cell>
          <cell r="G57">
            <v>3.8699999999999998E-2</v>
          </cell>
        </row>
        <row r="58">
          <cell r="A58">
            <v>1.3</v>
          </cell>
          <cell r="E58">
            <v>7.9500000000000001E-2</v>
          </cell>
          <cell r="F58">
            <v>0.18149999999999999</v>
          </cell>
          <cell r="G58">
            <v>2.6499999999999999E-2</v>
          </cell>
        </row>
        <row r="59">
          <cell r="A59">
            <v>1.4</v>
          </cell>
          <cell r="E59">
            <v>8.3599999999999994E-2</v>
          </cell>
          <cell r="F59">
            <v>0.16819999999999999</v>
          </cell>
          <cell r="G59">
            <v>2.24E-2</v>
          </cell>
        </row>
        <row r="60">
          <cell r="A60">
            <v>1.5</v>
          </cell>
          <cell r="E60">
            <v>8.6699999999999999E-2</v>
          </cell>
          <cell r="F60">
            <v>0.1142</v>
          </cell>
          <cell r="G60">
            <v>2.0400000000000001E-2</v>
          </cell>
        </row>
        <row r="61">
          <cell r="A61">
            <v>1.6</v>
          </cell>
          <cell r="E61">
            <v>5.91E-2</v>
          </cell>
          <cell r="F61">
            <v>6.93E-2</v>
          </cell>
          <cell r="G61">
            <v>1.5299999999999999E-2</v>
          </cell>
        </row>
        <row r="62">
          <cell r="A62">
            <v>1.8</v>
          </cell>
          <cell r="E62">
            <v>4.8899999999999999E-2</v>
          </cell>
          <cell r="F62">
            <v>6.3200000000000006E-2</v>
          </cell>
          <cell r="G62">
            <v>1.43E-2</v>
          </cell>
        </row>
        <row r="63">
          <cell r="A63">
            <v>2</v>
          </cell>
          <cell r="E63">
            <v>3.5700000000000003E-2</v>
          </cell>
          <cell r="F63">
            <v>4.5900000000000003E-2</v>
          </cell>
          <cell r="G63">
            <v>1.6299999999999999E-2</v>
          </cell>
        </row>
        <row r="64">
          <cell r="A64">
            <v>2.2000000000000002</v>
          </cell>
          <cell r="E64">
            <v>4.2799999999999998E-2</v>
          </cell>
          <cell r="F64">
            <v>2.86E-2</v>
          </cell>
          <cell r="G64">
            <v>1.2200000000000001E-2</v>
          </cell>
        </row>
        <row r="65">
          <cell r="A65">
            <v>2.5</v>
          </cell>
          <cell r="E65">
            <v>2.5499999999999998E-2</v>
          </cell>
          <cell r="F65">
            <v>2.0400000000000001E-2</v>
          </cell>
          <cell r="G65">
            <v>8.2000000000000007E-3</v>
          </cell>
        </row>
        <row r="66">
          <cell r="A66">
            <v>2.8</v>
          </cell>
          <cell r="E66">
            <v>2.24E-2</v>
          </cell>
          <cell r="F66">
            <v>2.5499999999999998E-2</v>
          </cell>
          <cell r="G66">
            <v>6.1000000000000004E-3</v>
          </cell>
        </row>
        <row r="67">
          <cell r="A67">
            <v>3</v>
          </cell>
          <cell r="E67">
            <v>1.84E-2</v>
          </cell>
          <cell r="F67">
            <v>1.84E-2</v>
          </cell>
          <cell r="G67">
            <v>6.1000000000000004E-3</v>
          </cell>
        </row>
        <row r="68">
          <cell r="A68">
            <v>3.5</v>
          </cell>
          <cell r="E68">
            <v>1.5299999999999999E-2</v>
          </cell>
          <cell r="F68">
            <v>1.2200000000000001E-2</v>
          </cell>
          <cell r="G68">
            <v>5.1000000000000004E-3</v>
          </cell>
        </row>
        <row r="69">
          <cell r="A69">
            <v>4</v>
          </cell>
          <cell r="E69">
            <v>1.0200000000000001E-2</v>
          </cell>
          <cell r="F69">
            <v>8.2000000000000007E-3</v>
          </cell>
          <cell r="G69">
            <v>4.1000000000000003E-3</v>
          </cell>
        </row>
        <row r="70">
          <cell r="A70">
            <v>4.5</v>
          </cell>
          <cell r="E70">
            <v>8.2000000000000007E-3</v>
          </cell>
          <cell r="F70">
            <v>6.1000000000000004E-3</v>
          </cell>
          <cell r="G70">
            <v>3.0999999999999999E-3</v>
          </cell>
        </row>
        <row r="71">
          <cell r="A71">
            <v>5</v>
          </cell>
          <cell r="E71">
            <v>5.1000000000000004E-3</v>
          </cell>
          <cell r="F71">
            <v>5.1000000000000004E-3</v>
          </cell>
          <cell r="G71">
            <v>2E-3</v>
          </cell>
        </row>
      </sheetData>
      <sheetData sheetId="14">
        <row r="1">
          <cell r="D1" t="str">
            <v>ESPECTRO - NSR-10</v>
          </cell>
        </row>
        <row r="13">
          <cell r="A13">
            <v>0</v>
          </cell>
          <cell r="B13">
            <v>0.32499999999999996</v>
          </cell>
          <cell r="D13">
            <v>0.32499999999999996</v>
          </cell>
        </row>
        <row r="14">
          <cell r="A14">
            <v>0.14615384615384616</v>
          </cell>
          <cell r="B14">
            <v>0.81249999999999989</v>
          </cell>
          <cell r="D14">
            <v>0.54166666666666663</v>
          </cell>
        </row>
        <row r="15">
          <cell r="A15">
            <v>0.70153846153846156</v>
          </cell>
          <cell r="B15">
            <v>0.81249999999999989</v>
          </cell>
          <cell r="D15">
            <v>0.54166666666666663</v>
          </cell>
        </row>
        <row r="16">
          <cell r="A16">
            <v>0.8</v>
          </cell>
          <cell r="B16">
            <v>0.71249999999999991</v>
          </cell>
          <cell r="D16">
            <v>0.47499999999999992</v>
          </cell>
        </row>
        <row r="17">
          <cell r="A17">
            <v>0.9</v>
          </cell>
          <cell r="B17">
            <v>0.6333333333333333</v>
          </cell>
          <cell r="D17">
            <v>0.42222222222222222</v>
          </cell>
        </row>
        <row r="18">
          <cell r="A18">
            <v>1</v>
          </cell>
          <cell r="B18">
            <v>0.56999999999999995</v>
          </cell>
          <cell r="D18">
            <v>0.37999999999999995</v>
          </cell>
        </row>
        <row r="19">
          <cell r="A19">
            <v>1.1000000000000001</v>
          </cell>
          <cell r="B19">
            <v>0.51818181818181808</v>
          </cell>
          <cell r="D19">
            <v>0.3454545454545454</v>
          </cell>
        </row>
        <row r="20">
          <cell r="A20">
            <v>1.2000000000000002</v>
          </cell>
          <cell r="B20">
            <v>0.47499999999999987</v>
          </cell>
          <cell r="D20">
            <v>0.3166666666666666</v>
          </cell>
        </row>
        <row r="21">
          <cell r="A21">
            <v>1.3000000000000003</v>
          </cell>
          <cell r="B21">
            <v>0.43846153846153835</v>
          </cell>
          <cell r="D21">
            <v>0.29230769230769221</v>
          </cell>
        </row>
        <row r="22">
          <cell r="A22">
            <v>1.4000000000000004</v>
          </cell>
          <cell r="B22">
            <v>0.40714285714285703</v>
          </cell>
          <cell r="D22">
            <v>0.27142857142857135</v>
          </cell>
        </row>
        <row r="23">
          <cell r="A23">
            <v>1.5000000000000004</v>
          </cell>
          <cell r="B23">
            <v>0.37999999999999984</v>
          </cell>
          <cell r="D23">
            <v>0.25333333333333324</v>
          </cell>
        </row>
        <row r="24">
          <cell r="A24">
            <v>1.6000000000000005</v>
          </cell>
          <cell r="B24">
            <v>0.35624999999999984</v>
          </cell>
          <cell r="D24">
            <v>0.23749999999999991</v>
          </cell>
        </row>
        <row r="25">
          <cell r="A25">
            <v>1.7000000000000006</v>
          </cell>
          <cell r="B25">
            <v>0.33529411764705869</v>
          </cell>
          <cell r="D25">
            <v>0.22352941176470578</v>
          </cell>
        </row>
        <row r="26">
          <cell r="A26">
            <v>1.8000000000000007</v>
          </cell>
          <cell r="B26">
            <v>0.31666666666666654</v>
          </cell>
          <cell r="D26">
            <v>0.21111111111111103</v>
          </cell>
        </row>
        <row r="27">
          <cell r="A27">
            <v>1.9000000000000008</v>
          </cell>
          <cell r="B27">
            <v>0.29999999999999982</v>
          </cell>
          <cell r="D27">
            <v>0.19999999999999987</v>
          </cell>
        </row>
        <row r="28">
          <cell r="A28">
            <v>2.0000000000000009</v>
          </cell>
          <cell r="B28">
            <v>0.28499999999999986</v>
          </cell>
          <cell r="D28">
            <v>0.18999999999999992</v>
          </cell>
          <cell r="N28" t="str">
            <v>Espec. NSR-10, Suelo D, Aa=0.25</v>
          </cell>
        </row>
        <row r="29">
          <cell r="A29">
            <v>2.100000000000001</v>
          </cell>
          <cell r="B29">
            <v>0.2714285714285713</v>
          </cell>
          <cell r="D29">
            <v>0.18095238095238086</v>
          </cell>
        </row>
        <row r="30">
          <cell r="A30">
            <v>2.2000000000000011</v>
          </cell>
          <cell r="B30">
            <v>0.25909090909090893</v>
          </cell>
          <cell r="D30">
            <v>0.17272727272727262</v>
          </cell>
        </row>
        <row r="31">
          <cell r="A31">
            <v>2.3000000000000012</v>
          </cell>
          <cell r="B31">
            <v>0.24782608695652159</v>
          </cell>
          <cell r="D31">
            <v>0.16521739130434773</v>
          </cell>
        </row>
        <row r="32">
          <cell r="A32">
            <v>2.4000000000000012</v>
          </cell>
          <cell r="B32">
            <v>0.23749999999999985</v>
          </cell>
          <cell r="D32">
            <v>0.15833333333333324</v>
          </cell>
        </row>
        <row r="33">
          <cell r="A33">
            <v>2.5000000000000013</v>
          </cell>
          <cell r="B33">
            <v>0.22799999999999987</v>
          </cell>
          <cell r="D33">
            <v>0.15199999999999991</v>
          </cell>
        </row>
        <row r="34">
          <cell r="A34">
            <v>2.6000000000000014</v>
          </cell>
          <cell r="B34">
            <v>0.21923076923076909</v>
          </cell>
          <cell r="D34">
            <v>0.14615384615384605</v>
          </cell>
        </row>
        <row r="35">
          <cell r="A35">
            <v>2.7000000000000015</v>
          </cell>
          <cell r="B35">
            <v>0.21111111111111097</v>
          </cell>
          <cell r="D35">
            <v>0.14074074074074064</v>
          </cell>
        </row>
        <row r="36">
          <cell r="A36">
            <v>2.8000000000000016</v>
          </cell>
          <cell r="B36">
            <v>0.20357142857142843</v>
          </cell>
          <cell r="D36">
            <v>0.13571428571428562</v>
          </cell>
        </row>
        <row r="37">
          <cell r="A37">
            <v>2.9000000000000017</v>
          </cell>
          <cell r="B37">
            <v>0.1965517241379309</v>
          </cell>
          <cell r="D37">
            <v>0.13103448275862059</v>
          </cell>
        </row>
        <row r="38">
          <cell r="A38">
            <v>3.0000000000000018</v>
          </cell>
          <cell r="B38">
            <v>0.18999999999999986</v>
          </cell>
          <cell r="D38">
            <v>0.12666666666666657</v>
          </cell>
        </row>
        <row r="39">
          <cell r="A39">
            <v>3.1000000000000019</v>
          </cell>
          <cell r="B39">
            <v>0.18387096774193537</v>
          </cell>
          <cell r="D39">
            <v>0.12258064516129025</v>
          </cell>
        </row>
        <row r="40">
          <cell r="A40">
            <v>3.200000000000002</v>
          </cell>
          <cell r="B40">
            <v>0.17812499999999987</v>
          </cell>
          <cell r="D40">
            <v>0.11874999999999991</v>
          </cell>
        </row>
        <row r="41">
          <cell r="A41">
            <v>3.300000000000002</v>
          </cell>
          <cell r="B41">
            <v>0.17272727272727262</v>
          </cell>
          <cell r="D41">
            <v>0.11515151515151507</v>
          </cell>
        </row>
        <row r="42">
          <cell r="A42">
            <v>3.4000000000000021</v>
          </cell>
          <cell r="B42">
            <v>0.16764705882352929</v>
          </cell>
          <cell r="D42">
            <v>0.11176470588235286</v>
          </cell>
        </row>
        <row r="43">
          <cell r="A43">
            <v>3.5000000000000022</v>
          </cell>
          <cell r="B43">
            <v>0.16285714285714273</v>
          </cell>
          <cell r="D43">
            <v>0.10857142857142849</v>
          </cell>
        </row>
        <row r="44">
          <cell r="A44">
            <v>3.6000000000000023</v>
          </cell>
          <cell r="B44">
            <v>0.15833333333333321</v>
          </cell>
          <cell r="D44">
            <v>0.10555555555555547</v>
          </cell>
        </row>
        <row r="45">
          <cell r="A45">
            <v>3.7000000000000024</v>
          </cell>
          <cell r="B45">
            <v>0.15405405405405395</v>
          </cell>
          <cell r="D45">
            <v>0.10270270270270264</v>
          </cell>
        </row>
        <row r="46">
          <cell r="A46">
            <v>3.8000000000000025</v>
          </cell>
          <cell r="B46">
            <v>0.14999999999999988</v>
          </cell>
          <cell r="D46">
            <v>9.9999999999999922E-2</v>
          </cell>
        </row>
        <row r="47">
          <cell r="A47">
            <v>3.9000000000000026</v>
          </cell>
          <cell r="B47">
            <v>0.14615384615384605</v>
          </cell>
          <cell r="D47">
            <v>9.7435897435897367E-2</v>
          </cell>
        </row>
        <row r="48">
          <cell r="A48">
            <v>4.0000000000000027</v>
          </cell>
          <cell r="B48">
            <v>0.1424999999999999</v>
          </cell>
          <cell r="D48">
            <v>9.4999999999999932E-2</v>
          </cell>
        </row>
        <row r="49">
          <cell r="A49">
            <v>4.1000000000000023</v>
          </cell>
          <cell r="B49">
            <v>0.13902439024390234</v>
          </cell>
          <cell r="D49">
            <v>9.2682926829268222E-2</v>
          </cell>
        </row>
        <row r="50">
          <cell r="A50">
            <v>4.200000000000002</v>
          </cell>
          <cell r="B50">
            <v>0.13571428571428565</v>
          </cell>
          <cell r="D50">
            <v>9.0476190476190432E-2</v>
          </cell>
        </row>
        <row r="51">
          <cell r="A51">
            <v>4.3000000000000016</v>
          </cell>
          <cell r="B51">
            <v>0.13255813953488366</v>
          </cell>
          <cell r="D51">
            <v>8.8372093023255771E-2</v>
          </cell>
        </row>
        <row r="52">
          <cell r="A52">
            <v>4.4000000000000012</v>
          </cell>
          <cell r="B52">
            <v>0.12954545454545449</v>
          </cell>
          <cell r="D52">
            <v>8.6363636363636323E-2</v>
          </cell>
        </row>
        <row r="53">
          <cell r="A53">
            <v>4.5000000000000009</v>
          </cell>
          <cell r="B53">
            <v>0.12666666666666662</v>
          </cell>
          <cell r="D53">
            <v>8.4444444444444419E-2</v>
          </cell>
        </row>
        <row r="54">
          <cell r="A54">
            <v>4.6000000000000005</v>
          </cell>
          <cell r="B54">
            <v>0.12283553875236292</v>
          </cell>
          <cell r="D54">
            <v>8.1890359168241944E-2</v>
          </cell>
        </row>
        <row r="55">
          <cell r="A55">
            <v>4.7</v>
          </cell>
          <cell r="B55">
            <v>0.1176641014033499</v>
          </cell>
          <cell r="D55">
            <v>7.844273426889993E-2</v>
          </cell>
        </row>
        <row r="56">
          <cell r="A56">
            <v>4.8</v>
          </cell>
          <cell r="B56">
            <v>0.1128125</v>
          </cell>
          <cell r="D56">
            <v>7.5208333333333335E-2</v>
          </cell>
        </row>
        <row r="57">
          <cell r="A57">
            <v>4.8999999999999995</v>
          </cell>
          <cell r="B57">
            <v>0.1082548937942524</v>
          </cell>
          <cell r="D57">
            <v>7.216992919616827E-2</v>
          </cell>
        </row>
        <row r="58">
          <cell r="A58">
            <v>4.9999999999999991</v>
          </cell>
          <cell r="B58">
            <v>0.10396800000000002</v>
          </cell>
          <cell r="D58">
            <v>6.9312000000000012E-2</v>
          </cell>
        </row>
        <row r="59">
          <cell r="A59">
            <v>5.0999999999999988</v>
          </cell>
          <cell r="B59">
            <v>9.99307958477509E-2</v>
          </cell>
          <cell r="D59">
            <v>6.6620530565167271E-2</v>
          </cell>
        </row>
        <row r="60">
          <cell r="A60">
            <v>5.1999999999999984</v>
          </cell>
          <cell r="B60">
            <v>9.6124260355029634E-2</v>
          </cell>
          <cell r="D60">
            <v>6.4082840236686422E-2</v>
          </cell>
        </row>
        <row r="61">
          <cell r="A61">
            <v>5.299999999999998</v>
          </cell>
          <cell r="B61">
            <v>9.2531149875400565E-2</v>
          </cell>
          <cell r="D61">
            <v>6.1687433250267043E-2</v>
          </cell>
        </row>
        <row r="62">
          <cell r="A62">
            <v>5.3999999999999977</v>
          </cell>
          <cell r="B62">
            <v>8.9135802469135869E-2</v>
          </cell>
          <cell r="D62">
            <v>5.9423868312757248E-2</v>
          </cell>
        </row>
        <row r="63">
          <cell r="A63">
            <v>5.4999999999999973</v>
          </cell>
          <cell r="B63">
            <v>8.5923966942148836E-2</v>
          </cell>
          <cell r="D63">
            <v>5.7282644628099226E-2</v>
          </cell>
        </row>
        <row r="64">
          <cell r="A64">
            <v>5.599999999999997</v>
          </cell>
          <cell r="B64">
            <v>8.2882653061224568E-2</v>
          </cell>
          <cell r="D64">
            <v>5.5255102040816378E-2</v>
          </cell>
        </row>
        <row r="65">
          <cell r="A65">
            <v>5.6999999999999966</v>
          </cell>
          <cell r="B65">
            <v>8.0000000000000085E-2</v>
          </cell>
          <cell r="D65">
            <v>5.3333333333333392E-2</v>
          </cell>
        </row>
      </sheetData>
      <sheetData sheetId="15">
        <row r="1">
          <cell r="D1" t="str">
            <v>ESPECTRO - CCP-2014</v>
          </cell>
        </row>
        <row r="11">
          <cell r="A11">
            <v>0</v>
          </cell>
          <cell r="B11">
            <v>0.32499999999999996</v>
          </cell>
          <cell r="D11">
            <v>0.32499999999999996</v>
          </cell>
        </row>
        <row r="12">
          <cell r="A12">
            <v>0.14615384615384616</v>
          </cell>
          <cell r="B12">
            <v>0.78</v>
          </cell>
          <cell r="D12">
            <v>0.52</v>
          </cell>
        </row>
        <row r="13">
          <cell r="A13">
            <v>0.73076923076923084</v>
          </cell>
          <cell r="B13">
            <v>0.77999999999999992</v>
          </cell>
          <cell r="D13">
            <v>0.51999999999999991</v>
          </cell>
        </row>
        <row r="14">
          <cell r="A14">
            <v>0.8</v>
          </cell>
          <cell r="B14">
            <v>0.71249999999999991</v>
          </cell>
          <cell r="D14">
            <v>0.47499999999999992</v>
          </cell>
        </row>
        <row r="15">
          <cell r="A15">
            <v>0.9</v>
          </cell>
          <cell r="B15">
            <v>0.6333333333333333</v>
          </cell>
          <cell r="D15">
            <v>0.42222222222222222</v>
          </cell>
        </row>
        <row r="16">
          <cell r="A16">
            <v>1</v>
          </cell>
          <cell r="B16">
            <v>0.56999999999999995</v>
          </cell>
          <cell r="D16">
            <v>0.37999999999999995</v>
          </cell>
        </row>
        <row r="17">
          <cell r="A17">
            <v>1.1000000000000001</v>
          </cell>
          <cell r="B17">
            <v>0.51818181818181808</v>
          </cell>
          <cell r="D17">
            <v>0.3454545454545454</v>
          </cell>
        </row>
        <row r="18">
          <cell r="A18">
            <v>1.2000000000000002</v>
          </cell>
          <cell r="B18">
            <v>0.47499999999999987</v>
          </cell>
          <cell r="D18">
            <v>0.3166666666666666</v>
          </cell>
        </row>
        <row r="19">
          <cell r="A19">
            <v>1.3000000000000003</v>
          </cell>
          <cell r="B19">
            <v>0.43846153846153835</v>
          </cell>
          <cell r="D19">
            <v>0.29230769230769221</v>
          </cell>
        </row>
        <row r="20">
          <cell r="A20">
            <v>1.4000000000000004</v>
          </cell>
          <cell r="B20">
            <v>0.40714285714285703</v>
          </cell>
          <cell r="D20">
            <v>0.27142857142857135</v>
          </cell>
        </row>
        <row r="21">
          <cell r="A21">
            <v>1.5000000000000004</v>
          </cell>
          <cell r="B21">
            <v>0.37999999999999984</v>
          </cell>
          <cell r="D21">
            <v>0.25333333333333324</v>
          </cell>
        </row>
        <row r="22">
          <cell r="A22">
            <v>1.6000000000000005</v>
          </cell>
          <cell r="B22">
            <v>0.35624999999999984</v>
          </cell>
          <cell r="D22">
            <v>0.23749999999999991</v>
          </cell>
        </row>
        <row r="23">
          <cell r="A23">
            <v>1.7000000000000006</v>
          </cell>
          <cell r="B23">
            <v>0.33529411764705869</v>
          </cell>
          <cell r="D23">
            <v>0.22352941176470578</v>
          </cell>
        </row>
        <row r="24">
          <cell r="A24">
            <v>1.8000000000000007</v>
          </cell>
          <cell r="B24">
            <v>0.31666666666666654</v>
          </cell>
          <cell r="D24">
            <v>0.21111111111111103</v>
          </cell>
        </row>
        <row r="25">
          <cell r="A25">
            <v>1.9000000000000008</v>
          </cell>
          <cell r="B25">
            <v>0.29999999999999982</v>
          </cell>
          <cell r="D25">
            <v>0.19999999999999987</v>
          </cell>
        </row>
        <row r="26">
          <cell r="A26">
            <v>2.0000000000000009</v>
          </cell>
          <cell r="B26">
            <v>0.28499999999999986</v>
          </cell>
          <cell r="D26">
            <v>0.18999999999999992</v>
          </cell>
        </row>
        <row r="27">
          <cell r="A27">
            <v>2.100000000000001</v>
          </cell>
          <cell r="B27">
            <v>0.2714285714285713</v>
          </cell>
          <cell r="D27">
            <v>0.18095238095238086</v>
          </cell>
        </row>
        <row r="28">
          <cell r="A28">
            <v>2.2000000000000011</v>
          </cell>
          <cell r="B28">
            <v>0.25909090909090893</v>
          </cell>
          <cell r="D28">
            <v>0.17272727272727262</v>
          </cell>
        </row>
        <row r="29">
          <cell r="A29">
            <v>2.3000000000000012</v>
          </cell>
          <cell r="B29">
            <v>0.24782608695652159</v>
          </cell>
          <cell r="D29">
            <v>0.16521739130434773</v>
          </cell>
        </row>
        <row r="30">
          <cell r="A30">
            <v>2.4000000000000012</v>
          </cell>
          <cell r="B30">
            <v>0.23749999999999985</v>
          </cell>
          <cell r="D30">
            <v>0.15833333333333324</v>
          </cell>
        </row>
        <row r="31">
          <cell r="A31">
            <v>2.5000000000000013</v>
          </cell>
          <cell r="B31">
            <v>0.22799999999999987</v>
          </cell>
          <cell r="D31">
            <v>0.15199999999999991</v>
          </cell>
        </row>
        <row r="32">
          <cell r="A32">
            <v>2.6000000000000014</v>
          </cell>
          <cell r="B32">
            <v>0.21923076923076909</v>
          </cell>
          <cell r="D32">
            <v>0.14615384615384605</v>
          </cell>
        </row>
        <row r="33">
          <cell r="A33">
            <v>2.7000000000000015</v>
          </cell>
          <cell r="B33">
            <v>0.21111111111111097</v>
          </cell>
          <cell r="D33">
            <v>0.14074074074074064</v>
          </cell>
        </row>
        <row r="34">
          <cell r="A34">
            <v>2.8000000000000016</v>
          </cell>
          <cell r="B34">
            <v>0.20357142857142843</v>
          </cell>
          <cell r="D34">
            <v>0.13571428571428562</v>
          </cell>
        </row>
        <row r="35">
          <cell r="A35">
            <v>2.9000000000000017</v>
          </cell>
          <cell r="B35">
            <v>0.1965517241379309</v>
          </cell>
          <cell r="D35">
            <v>0.13103448275862059</v>
          </cell>
        </row>
        <row r="36">
          <cell r="A36">
            <v>3.0000000000000018</v>
          </cell>
          <cell r="B36">
            <v>0.18999999999999986</v>
          </cell>
          <cell r="D36">
            <v>0.12666666666666657</v>
          </cell>
        </row>
        <row r="37">
          <cell r="A37">
            <v>3.1000000000000019</v>
          </cell>
          <cell r="B37">
            <v>0.18387096774193537</v>
          </cell>
          <cell r="D37">
            <v>0.12258064516129025</v>
          </cell>
        </row>
        <row r="38">
          <cell r="A38">
            <v>3.200000000000002</v>
          </cell>
          <cell r="B38">
            <v>0.17812499999999987</v>
          </cell>
          <cell r="D38">
            <v>0.11874999999999991</v>
          </cell>
        </row>
        <row r="39">
          <cell r="A39">
            <v>3.300000000000002</v>
          </cell>
          <cell r="B39">
            <v>0.17272727272727262</v>
          </cell>
          <cell r="D39">
            <v>0.11515151515151507</v>
          </cell>
        </row>
        <row r="40">
          <cell r="A40">
            <v>3.4000000000000021</v>
          </cell>
          <cell r="B40">
            <v>0.16764705882352929</v>
          </cell>
          <cell r="D40">
            <v>0.11176470588235286</v>
          </cell>
        </row>
        <row r="41">
          <cell r="A41">
            <v>3.5000000000000022</v>
          </cell>
          <cell r="B41">
            <v>0.16285714285714273</v>
          </cell>
          <cell r="D41">
            <v>0.10857142857142849</v>
          </cell>
        </row>
        <row r="42">
          <cell r="A42">
            <v>3.6000000000000023</v>
          </cell>
          <cell r="B42">
            <v>0.15833333333333321</v>
          </cell>
          <cell r="D42">
            <v>0.10555555555555547</v>
          </cell>
        </row>
        <row r="43">
          <cell r="A43">
            <v>3.7000000000000024</v>
          </cell>
          <cell r="B43">
            <v>0.15405405405405395</v>
          </cell>
          <cell r="D43">
            <v>0.10270270270270264</v>
          </cell>
        </row>
        <row r="44">
          <cell r="A44">
            <v>3.8000000000000025</v>
          </cell>
          <cell r="B44">
            <v>0.14999999999999988</v>
          </cell>
          <cell r="D44">
            <v>9.9999999999999922E-2</v>
          </cell>
        </row>
        <row r="45">
          <cell r="A45">
            <v>3.9000000000000026</v>
          </cell>
          <cell r="B45">
            <v>0.14615384615384605</v>
          </cell>
          <cell r="D45">
            <v>9.7435897435897367E-2</v>
          </cell>
        </row>
        <row r="46">
          <cell r="A46">
            <v>4.0000000000000027</v>
          </cell>
          <cell r="B46">
            <v>0.1424999999999999</v>
          </cell>
          <cell r="D46">
            <v>9.4999999999999932E-2</v>
          </cell>
        </row>
        <row r="47">
          <cell r="A47">
            <v>4.1000000000000023</v>
          </cell>
          <cell r="B47">
            <v>0.13902439024390234</v>
          </cell>
          <cell r="D47">
            <v>9.2682926829268222E-2</v>
          </cell>
        </row>
        <row r="48">
          <cell r="A48">
            <v>4.200000000000002</v>
          </cell>
          <cell r="B48">
            <v>0.13571428571428565</v>
          </cell>
          <cell r="D48">
            <v>9.0476190476190432E-2</v>
          </cell>
        </row>
        <row r="49">
          <cell r="A49">
            <v>4.3000000000000016</v>
          </cell>
          <cell r="B49">
            <v>0.13255813953488366</v>
          </cell>
          <cell r="D49">
            <v>8.8372093023255771E-2</v>
          </cell>
        </row>
        <row r="50">
          <cell r="A50">
            <v>4.4000000000000012</v>
          </cell>
          <cell r="B50">
            <v>0.12954545454545449</v>
          </cell>
          <cell r="D50">
            <v>8.6363636363636323E-2</v>
          </cell>
        </row>
        <row r="51">
          <cell r="A51">
            <v>4.5000000000000009</v>
          </cell>
          <cell r="B51">
            <v>0.12666666666666662</v>
          </cell>
          <cell r="D51">
            <v>8.4444444444444419E-2</v>
          </cell>
        </row>
        <row r="52">
          <cell r="A52">
            <v>4.6000000000000005</v>
          </cell>
          <cell r="B52">
            <v>0.12391304347826085</v>
          </cell>
          <cell r="D52">
            <v>8.2608695652173894E-2</v>
          </cell>
        </row>
        <row r="53">
          <cell r="A53">
            <v>4.7</v>
          </cell>
          <cell r="B53">
            <v>0.12127659574468083</v>
          </cell>
          <cell r="D53">
            <v>8.0851063829787226E-2</v>
          </cell>
        </row>
        <row r="54">
          <cell r="A54">
            <v>4.8</v>
          </cell>
          <cell r="B54">
            <v>0.11874999999999999</v>
          </cell>
          <cell r="D54">
            <v>7.9166666666666663E-2</v>
          </cell>
        </row>
        <row r="55">
          <cell r="A55">
            <v>4.8999999999999995</v>
          </cell>
          <cell r="B55">
            <v>0.1163265306122449</v>
          </cell>
          <cell r="D55">
            <v>7.7551020408163265E-2</v>
          </cell>
        </row>
        <row r="56">
          <cell r="A56">
            <v>4.9999999999999991</v>
          </cell>
          <cell r="B56">
            <v>0.114</v>
          </cell>
          <cell r="D56">
            <v>7.5999999999999998E-2</v>
          </cell>
        </row>
        <row r="57">
          <cell r="A57">
            <v>5.0999999999999988</v>
          </cell>
          <cell r="B57">
            <v>0.11176470588235296</v>
          </cell>
          <cell r="D57">
            <v>7.450980392156864E-2</v>
          </cell>
        </row>
        <row r="58">
          <cell r="A58">
            <v>5.1999999999999984</v>
          </cell>
          <cell r="B58">
            <v>0.10961538461538464</v>
          </cell>
          <cell r="D58">
            <v>7.3076923076923095E-2</v>
          </cell>
        </row>
        <row r="59">
          <cell r="A59">
            <v>5.299999999999998</v>
          </cell>
          <cell r="B59">
            <v>0.10754716981132079</v>
          </cell>
          <cell r="D59">
            <v>7.1698113207547196E-2</v>
          </cell>
        </row>
        <row r="60">
          <cell r="A60">
            <v>5.3999999999999977</v>
          </cell>
          <cell r="B60">
            <v>0.1055555555555556</v>
          </cell>
          <cell r="D60">
            <v>7.0370370370370403E-2</v>
          </cell>
        </row>
        <row r="61">
          <cell r="A61">
            <v>5.4999999999999973</v>
          </cell>
          <cell r="B61">
            <v>0.10363636363636368</v>
          </cell>
          <cell r="D61">
            <v>6.9090909090909119E-2</v>
          </cell>
        </row>
        <row r="62">
          <cell r="A62">
            <v>5.599999999999997</v>
          </cell>
          <cell r="B62">
            <v>0.10178571428571433</v>
          </cell>
          <cell r="D62">
            <v>6.785714285714288E-2</v>
          </cell>
        </row>
        <row r="63">
          <cell r="A63">
            <v>5.6999999999999966</v>
          </cell>
          <cell r="B63">
            <v>0.10000000000000005</v>
          </cell>
          <cell r="D63">
            <v>6.6666666666666693E-2</v>
          </cell>
        </row>
      </sheetData>
      <sheetData sheetId="16">
        <row r="1">
          <cell r="D1" t="str">
            <v>ESPECTRO - MICROZONIFICACION SÍSMICA DE ARMENIA</v>
          </cell>
        </row>
        <row r="14">
          <cell r="A14">
            <v>0</v>
          </cell>
          <cell r="B14">
            <v>0.44</v>
          </cell>
          <cell r="D14">
            <v>0.44</v>
          </cell>
        </row>
        <row r="15">
          <cell r="A15">
            <v>0.1</v>
          </cell>
          <cell r="B15">
            <v>1.1000000000000001</v>
          </cell>
          <cell r="D15">
            <v>0.73333333333333339</v>
          </cell>
        </row>
        <row r="16">
          <cell r="A16">
            <v>0.8</v>
          </cell>
          <cell r="B16">
            <v>1.1000000000000001</v>
          </cell>
          <cell r="D16">
            <v>0.73333333333333339</v>
          </cell>
        </row>
        <row r="17">
          <cell r="A17">
            <v>0.9</v>
          </cell>
          <cell r="B17">
            <v>0.92408780513809297</v>
          </cell>
          <cell r="D17">
            <v>0.61605853675872868</v>
          </cell>
        </row>
        <row r="18">
          <cell r="A18">
            <v>1</v>
          </cell>
          <cell r="B18">
            <v>0.78899999999999992</v>
          </cell>
          <cell r="D18">
            <v>0.52599999999999991</v>
          </cell>
        </row>
        <row r="19">
          <cell r="A19">
            <v>1.1000000000000001</v>
          </cell>
          <cell r="B19">
            <v>0.68389271174070188</v>
          </cell>
          <cell r="D19">
            <v>0.45592847449380125</v>
          </cell>
        </row>
        <row r="20">
          <cell r="A20">
            <v>1.2000000000000002</v>
          </cell>
          <cell r="B20">
            <v>0.60021263593274432</v>
          </cell>
          <cell r="D20">
            <v>0.40014175728849621</v>
          </cell>
        </row>
        <row r="21">
          <cell r="A21">
            <v>1.3000000000000003</v>
          </cell>
          <cell r="B21">
            <v>0.53230675171788133</v>
          </cell>
          <cell r="D21">
            <v>0.35487116781192091</v>
          </cell>
        </row>
        <row r="22">
          <cell r="A22">
            <v>1.4000000000000004</v>
          </cell>
          <cell r="B22">
            <v>0.47630479070057091</v>
          </cell>
          <cell r="D22">
            <v>0.31753652713371394</v>
          </cell>
        </row>
        <row r="23">
          <cell r="A23">
            <v>1.5000000000000004</v>
          </cell>
          <cell r="B23">
            <v>0.42947720156798369</v>
          </cell>
          <cell r="D23">
            <v>0.28631813437865578</v>
          </cell>
        </row>
        <row r="24">
          <cell r="A24">
            <v>1.6000000000000005</v>
          </cell>
          <cell r="B24">
            <v>0.38984954279263273</v>
          </cell>
          <cell r="D24">
            <v>0.25989969519508849</v>
          </cell>
        </row>
        <row r="25">
          <cell r="A25">
            <v>1.7000000000000006</v>
          </cell>
          <cell r="B25">
            <v>0.35596198600033818</v>
          </cell>
          <cell r="D25">
            <v>0.23730799066689212</v>
          </cell>
        </row>
        <row r="26">
          <cell r="A26">
            <v>1.8000000000000007</v>
          </cell>
          <cell r="B26">
            <v>0.32671437671246906</v>
          </cell>
          <cell r="D26">
            <v>0.21780958447497936</v>
          </cell>
          <cell r="K26" t="str">
            <v>Espec. Armenia, Suelo D, Zona A</v>
          </cell>
        </row>
        <row r="27">
          <cell r="A27">
            <v>1.9000000000000008</v>
          </cell>
          <cell r="B27">
            <v>0.30126355859831516</v>
          </cell>
          <cell r="D27">
            <v>0.20084237239887678</v>
          </cell>
        </row>
        <row r="28">
          <cell r="A28">
            <v>2.0000000000000009</v>
          </cell>
          <cell r="B28">
            <v>0.2789536251780928</v>
          </cell>
          <cell r="D28">
            <v>0.18596908345206187</v>
          </cell>
        </row>
        <row r="29">
          <cell r="A29">
            <v>2.100000000000001</v>
          </cell>
          <cell r="B29">
            <v>0.25926748872434141</v>
          </cell>
          <cell r="D29">
            <v>0.17284499248289428</v>
          </cell>
        </row>
        <row r="30">
          <cell r="A30">
            <v>2.2000000000000011</v>
          </cell>
          <cell r="B30">
            <v>0.24179258703795345</v>
          </cell>
          <cell r="D30">
            <v>0.16119505802530229</v>
          </cell>
        </row>
        <row r="31">
          <cell r="A31">
            <v>2.3000000000000012</v>
          </cell>
          <cell r="B31">
            <v>0.22619617109098936</v>
          </cell>
          <cell r="D31">
            <v>0.15079744739399289</v>
          </cell>
        </row>
        <row r="32">
          <cell r="A32">
            <v>2.4000000000000012</v>
          </cell>
          <cell r="B32">
            <v>0.22</v>
          </cell>
          <cell r="D32">
            <v>0.14666666666666667</v>
          </cell>
        </row>
        <row r="33">
          <cell r="A33">
            <v>2.5000000000000013</v>
          </cell>
          <cell r="B33">
            <v>0.22</v>
          </cell>
          <cell r="D33">
            <v>0.14666666666666667</v>
          </cell>
        </row>
        <row r="34">
          <cell r="A34">
            <v>2.6000000000000014</v>
          </cell>
          <cell r="B34">
            <v>0.22</v>
          </cell>
          <cell r="D34">
            <v>0.14666666666666667</v>
          </cell>
        </row>
        <row r="35">
          <cell r="A35">
            <v>2.7000000000000015</v>
          </cell>
          <cell r="B35">
            <v>0.22</v>
          </cell>
          <cell r="D35">
            <v>0.14666666666666667</v>
          </cell>
        </row>
        <row r="36">
          <cell r="A36">
            <v>2.8000000000000016</v>
          </cell>
          <cell r="B36">
            <v>0.22</v>
          </cell>
          <cell r="D36">
            <v>0.14666666666666667</v>
          </cell>
        </row>
        <row r="37">
          <cell r="A37">
            <v>2.9000000000000017</v>
          </cell>
          <cell r="B37">
            <v>0.22</v>
          </cell>
          <cell r="D37">
            <v>0.14666666666666667</v>
          </cell>
        </row>
        <row r="38">
          <cell r="A38">
            <v>3.0000000000000018</v>
          </cell>
          <cell r="B38">
            <v>0.22</v>
          </cell>
          <cell r="D38">
            <v>0.14666666666666667</v>
          </cell>
        </row>
        <row r="39">
          <cell r="A39">
            <v>3.1000000000000019</v>
          </cell>
          <cell r="B39">
            <v>0.22</v>
          </cell>
          <cell r="D39">
            <v>0.14666666666666667</v>
          </cell>
        </row>
        <row r="40">
          <cell r="A40">
            <v>3.200000000000002</v>
          </cell>
          <cell r="B40">
            <v>0.22</v>
          </cell>
          <cell r="D40">
            <v>0.14666666666666667</v>
          </cell>
        </row>
        <row r="41">
          <cell r="A41">
            <v>3.300000000000002</v>
          </cell>
          <cell r="B41">
            <v>0.22</v>
          </cell>
          <cell r="D41">
            <v>0.14666666666666667</v>
          </cell>
        </row>
        <row r="42">
          <cell r="A42">
            <v>3.4000000000000021</v>
          </cell>
          <cell r="B42">
            <v>0.22</v>
          </cell>
          <cell r="D42">
            <v>0.14666666666666667</v>
          </cell>
        </row>
        <row r="43">
          <cell r="A43">
            <v>3.5000000000000022</v>
          </cell>
          <cell r="B43">
            <v>0.22</v>
          </cell>
          <cell r="D43">
            <v>0.14666666666666667</v>
          </cell>
        </row>
        <row r="44">
          <cell r="A44">
            <v>3.6000000000000023</v>
          </cell>
          <cell r="B44">
            <v>0.22</v>
          </cell>
          <cell r="D44">
            <v>0.14666666666666667</v>
          </cell>
        </row>
        <row r="45">
          <cell r="A45">
            <v>3.7000000000000024</v>
          </cell>
          <cell r="B45">
            <v>0.22</v>
          </cell>
          <cell r="D45">
            <v>0.14666666666666667</v>
          </cell>
        </row>
        <row r="46">
          <cell r="A46">
            <v>3.8000000000000025</v>
          </cell>
          <cell r="B46">
            <v>0.22</v>
          </cell>
          <cell r="D46">
            <v>0.14666666666666667</v>
          </cell>
        </row>
        <row r="47">
          <cell r="A47">
            <v>3.9000000000000026</v>
          </cell>
          <cell r="B47">
            <v>0.22</v>
          </cell>
          <cell r="D47">
            <v>0.14666666666666667</v>
          </cell>
        </row>
        <row r="48">
          <cell r="A48">
            <v>4.0000000000000027</v>
          </cell>
          <cell r="B48">
            <v>0.22</v>
          </cell>
          <cell r="D48">
            <v>0.14666666666666667</v>
          </cell>
        </row>
        <row r="49">
          <cell r="A49">
            <v>4.1000000000000023</v>
          </cell>
          <cell r="B49">
            <v>0.22</v>
          </cell>
          <cell r="D49">
            <v>0.14666666666666667</v>
          </cell>
        </row>
      </sheetData>
      <sheetData sheetId="17"/>
      <sheetData sheetId="18">
        <row r="15">
          <cell r="A15">
            <v>0</v>
          </cell>
          <cell r="B15">
            <v>0.39375000000000004</v>
          </cell>
          <cell r="D15">
            <v>0.39375000000000004</v>
          </cell>
          <cell r="N15">
            <v>0</v>
          </cell>
          <cell r="O15">
            <v>0</v>
          </cell>
        </row>
        <row r="16">
          <cell r="A16">
            <v>0.16</v>
          </cell>
          <cell r="B16">
            <v>0.39375000000000004</v>
          </cell>
          <cell r="D16">
            <v>0.26250000000000001</v>
          </cell>
          <cell r="N16">
            <v>2.5047812450589612E-3</v>
          </cell>
          <cell r="O16">
            <v>1.6698541633726404E-3</v>
          </cell>
        </row>
        <row r="17">
          <cell r="A17">
            <v>1.77</v>
          </cell>
          <cell r="B17">
            <v>0.39375000000000004</v>
          </cell>
          <cell r="D17">
            <v>0.26250000000000001</v>
          </cell>
          <cell r="N17">
            <v>0.30653238916582887</v>
          </cell>
          <cell r="O17">
            <v>0.20435492611055256</v>
          </cell>
        </row>
        <row r="18">
          <cell r="A18">
            <v>1.8</v>
          </cell>
          <cell r="B18">
            <v>0.3866666666666666</v>
          </cell>
          <cell r="D18">
            <v>0.25777777777777772</v>
          </cell>
          <cell r="N18">
            <v>0.31130852617161364</v>
          </cell>
          <cell r="O18">
            <v>0.20753901744774242</v>
          </cell>
        </row>
        <row r="19">
          <cell r="A19">
            <v>1.9000000000000001</v>
          </cell>
          <cell r="B19">
            <v>0.36631578947368415</v>
          </cell>
          <cell r="D19">
            <v>0.24421052631578943</v>
          </cell>
          <cell r="N19">
            <v>0.32860344429225891</v>
          </cell>
          <cell r="O19">
            <v>0.21906896286150598</v>
          </cell>
        </row>
        <row r="20">
          <cell r="A20">
            <v>2</v>
          </cell>
          <cell r="B20">
            <v>0.34799999999999998</v>
          </cell>
          <cell r="D20">
            <v>0.23199999999999998</v>
          </cell>
          <cell r="N20">
            <v>0.34589836241290406</v>
          </cell>
          <cell r="O20">
            <v>0.23059890827526938</v>
          </cell>
        </row>
        <row r="21">
          <cell r="A21">
            <v>2.1</v>
          </cell>
          <cell r="B21">
            <v>0.33142857142857141</v>
          </cell>
          <cell r="D21">
            <v>0.22095238095238093</v>
          </cell>
          <cell r="N21">
            <v>0.36319328053354932</v>
          </cell>
          <cell r="O21">
            <v>0.24212885368903284</v>
          </cell>
        </row>
        <row r="22">
          <cell r="A22">
            <v>2.2000000000000002</v>
          </cell>
          <cell r="B22">
            <v>0.31636363636363629</v>
          </cell>
          <cell r="D22">
            <v>0.21090909090909085</v>
          </cell>
          <cell r="N22">
            <v>0.38048819865419453</v>
          </cell>
          <cell r="O22">
            <v>0.25365879910279632</v>
          </cell>
        </row>
        <row r="23">
          <cell r="A23">
            <v>2.3000000000000003</v>
          </cell>
          <cell r="B23">
            <v>0.30260869565217385</v>
          </cell>
          <cell r="D23">
            <v>0.20173913043478256</v>
          </cell>
          <cell r="N23">
            <v>0.39778311677483974</v>
          </cell>
          <cell r="O23">
            <v>0.26518874451655983</v>
          </cell>
        </row>
        <row r="24">
          <cell r="A24">
            <v>2.4000000000000004</v>
          </cell>
          <cell r="B24">
            <v>0.28999999999999992</v>
          </cell>
          <cell r="D24">
            <v>0.19333333333333327</v>
          </cell>
          <cell r="N24">
            <v>0.41507803489548495</v>
          </cell>
          <cell r="O24">
            <v>0.27671868993032328</v>
          </cell>
        </row>
        <row r="25">
          <cell r="A25">
            <v>2.5000000000000004</v>
          </cell>
          <cell r="B25">
            <v>0.27839999999999993</v>
          </cell>
          <cell r="D25">
            <v>0.18559999999999996</v>
          </cell>
          <cell r="N25">
            <v>0.43237295301613016</v>
          </cell>
          <cell r="O25">
            <v>0.28824863534408679</v>
          </cell>
        </row>
        <row r="26">
          <cell r="A26">
            <v>2.6000000000000005</v>
          </cell>
          <cell r="B26">
            <v>0.26769230769230762</v>
          </cell>
          <cell r="D26">
            <v>0.17846153846153842</v>
          </cell>
          <cell r="N26">
            <v>0.44966787113677531</v>
          </cell>
          <cell r="O26">
            <v>0.29977858075785019</v>
          </cell>
        </row>
        <row r="27">
          <cell r="A27">
            <v>2.7000000000000006</v>
          </cell>
          <cell r="B27">
            <v>0.25777777777777772</v>
          </cell>
          <cell r="D27">
            <v>0.17185185185185181</v>
          </cell>
          <cell r="N27">
            <v>0.46696278925742069</v>
          </cell>
          <cell r="O27">
            <v>0.31130852617161381</v>
          </cell>
        </row>
        <row r="28">
          <cell r="A28">
            <v>2.8000000000000007</v>
          </cell>
          <cell r="B28">
            <v>0.2485714285714285</v>
          </cell>
          <cell r="D28">
            <v>0.16571428571428568</v>
          </cell>
          <cell r="N28">
            <v>0.48425770737806584</v>
          </cell>
          <cell r="O28">
            <v>0.32283847158537721</v>
          </cell>
        </row>
        <row r="29">
          <cell r="A29">
            <v>2.9000000000000008</v>
          </cell>
          <cell r="B29">
            <v>0.23999999999999991</v>
          </cell>
          <cell r="D29">
            <v>0.15999999999999995</v>
          </cell>
          <cell r="N29">
            <v>0.50155262549871094</v>
          </cell>
          <cell r="O29">
            <v>0.33436841699914066</v>
          </cell>
        </row>
        <row r="30">
          <cell r="A30">
            <v>3.0000000000000009</v>
          </cell>
          <cell r="B30">
            <v>0.23199999999999993</v>
          </cell>
          <cell r="D30">
            <v>0.15466666666666662</v>
          </cell>
          <cell r="N30">
            <v>0.51884754361935637</v>
          </cell>
          <cell r="O30">
            <v>0.34589836241290423</v>
          </cell>
        </row>
        <row r="31">
          <cell r="A31">
            <v>3.100000000000001</v>
          </cell>
          <cell r="B31">
            <v>0.22451612903225798</v>
          </cell>
          <cell r="D31">
            <v>0.14967741935483866</v>
          </cell>
          <cell r="N31">
            <v>0.53614246174000157</v>
          </cell>
          <cell r="O31">
            <v>0.35742830782666773</v>
          </cell>
        </row>
        <row r="32">
          <cell r="A32">
            <v>3.2000000000000011</v>
          </cell>
          <cell r="B32">
            <v>0.21749999999999992</v>
          </cell>
          <cell r="D32">
            <v>0.14499999999999993</v>
          </cell>
          <cell r="N32">
            <v>0.55343737986064678</v>
          </cell>
          <cell r="O32">
            <v>0.36895825324043113</v>
          </cell>
        </row>
        <row r="33">
          <cell r="A33">
            <v>3.3000000000000012</v>
          </cell>
          <cell r="B33">
            <v>0.21090909090909082</v>
          </cell>
          <cell r="D33">
            <v>0.14060606060606054</v>
          </cell>
          <cell r="N33">
            <v>0.57073229798129188</v>
          </cell>
          <cell r="O33">
            <v>0.38048819865419459</v>
          </cell>
        </row>
        <row r="34">
          <cell r="A34">
            <v>3.4000000000000012</v>
          </cell>
          <cell r="B34">
            <v>0.2047058823529411</v>
          </cell>
          <cell r="D34">
            <v>0.13647058823529407</v>
          </cell>
          <cell r="N34">
            <v>0.58802721610193731</v>
          </cell>
          <cell r="O34">
            <v>0.39201814406795815</v>
          </cell>
        </row>
        <row r="35">
          <cell r="A35">
            <v>3.5000000000000013</v>
          </cell>
          <cell r="B35">
            <v>0.19885714285714276</v>
          </cell>
          <cell r="D35">
            <v>0.13257142857142851</v>
          </cell>
          <cell r="N35">
            <v>0.6053221342225823</v>
          </cell>
          <cell r="O35">
            <v>0.40354808948172161</v>
          </cell>
        </row>
        <row r="36">
          <cell r="A36">
            <v>3.6000000000000014</v>
          </cell>
          <cell r="B36">
            <v>0.19333333333333325</v>
          </cell>
          <cell r="D36">
            <v>0.12888888888888883</v>
          </cell>
          <cell r="N36">
            <v>0.62261705234322762</v>
          </cell>
          <cell r="O36">
            <v>0.41507803489548506</v>
          </cell>
        </row>
        <row r="37">
          <cell r="A37">
            <v>3.7000000000000015</v>
          </cell>
          <cell r="B37">
            <v>0.18810810810810802</v>
          </cell>
          <cell r="D37">
            <v>0.12540540540540535</v>
          </cell>
          <cell r="N37">
            <v>0.63991197046387271</v>
          </cell>
          <cell r="O37">
            <v>0.42660798030924851</v>
          </cell>
        </row>
        <row r="38">
          <cell r="A38">
            <v>3.8000000000000016</v>
          </cell>
          <cell r="B38">
            <v>0.18315789473684202</v>
          </cell>
          <cell r="D38">
            <v>0.12210526315789468</v>
          </cell>
          <cell r="N38">
            <v>0.65720688858451803</v>
          </cell>
          <cell r="O38">
            <v>0.43813792572301202</v>
          </cell>
        </row>
        <row r="39">
          <cell r="A39">
            <v>3.9000000000000017</v>
          </cell>
          <cell r="B39">
            <v>0.17846153846153837</v>
          </cell>
          <cell r="D39">
            <v>0.11897435897435892</v>
          </cell>
          <cell r="N39">
            <v>0.67450180670516324</v>
          </cell>
          <cell r="O39">
            <v>0.44966787113677553</v>
          </cell>
        </row>
        <row r="40">
          <cell r="A40">
            <v>4.0000000000000018</v>
          </cell>
          <cell r="B40">
            <v>0.1739999999999999</v>
          </cell>
          <cell r="D40">
            <v>0.11599999999999994</v>
          </cell>
          <cell r="N40">
            <v>0.69179672482580845</v>
          </cell>
          <cell r="O40">
            <v>0.46119781655053893</v>
          </cell>
        </row>
        <row r="41">
          <cell r="A41">
            <v>4.1000000000000014</v>
          </cell>
          <cell r="B41">
            <v>0.16975609756097554</v>
          </cell>
          <cell r="D41">
            <v>0.11317073170731702</v>
          </cell>
          <cell r="N41">
            <v>0.70909164294645355</v>
          </cell>
          <cell r="O41">
            <v>0.47272776196430238</v>
          </cell>
        </row>
        <row r="42">
          <cell r="A42">
            <v>4.2000000000000011</v>
          </cell>
          <cell r="B42">
            <v>0.16571428571428565</v>
          </cell>
          <cell r="D42">
            <v>0.11047619047619044</v>
          </cell>
          <cell r="N42">
            <v>0.72638656106709865</v>
          </cell>
          <cell r="O42">
            <v>0.48425770737806573</v>
          </cell>
        </row>
        <row r="43">
          <cell r="A43">
            <v>4.3000000000000007</v>
          </cell>
          <cell r="B43">
            <v>0.16186046511627902</v>
          </cell>
          <cell r="D43">
            <v>0.10790697674418602</v>
          </cell>
          <cell r="N43">
            <v>0.74368147918774385</v>
          </cell>
          <cell r="O43">
            <v>0.49578765279182935</v>
          </cell>
        </row>
        <row r="44">
          <cell r="A44">
            <v>4.4000000000000004</v>
          </cell>
          <cell r="B44">
            <v>0.15818181818181815</v>
          </cell>
          <cell r="D44">
            <v>0.10545454545454543</v>
          </cell>
          <cell r="N44">
            <v>0.76097639730838906</v>
          </cell>
          <cell r="O44">
            <v>0.50731759820559263</v>
          </cell>
        </row>
        <row r="45">
          <cell r="A45">
            <v>4.5</v>
          </cell>
          <cell r="B45">
            <v>0.15466666666666665</v>
          </cell>
          <cell r="D45">
            <v>0.1031111111111111</v>
          </cell>
          <cell r="N45">
            <v>0.77827131542903416</v>
          </cell>
          <cell r="O45">
            <v>0.51884754361935614</v>
          </cell>
        </row>
        <row r="46">
          <cell r="A46">
            <v>4.5999999999999996</v>
          </cell>
          <cell r="B46">
            <v>0.15130434782608695</v>
          </cell>
          <cell r="D46">
            <v>0.10086956521739131</v>
          </cell>
          <cell r="N46">
            <v>0.79556623354967948</v>
          </cell>
          <cell r="O46">
            <v>0.53037748903311965</v>
          </cell>
        </row>
        <row r="47">
          <cell r="A47">
            <v>4.6999999999999993</v>
          </cell>
          <cell r="B47">
            <v>0.14808510638297873</v>
          </cell>
          <cell r="D47">
            <v>9.8723404255319155E-2</v>
          </cell>
          <cell r="N47">
            <v>0.81286115167032447</v>
          </cell>
          <cell r="O47">
            <v>0.54190743444688305</v>
          </cell>
        </row>
        <row r="48">
          <cell r="A48">
            <v>4.7999999999999989</v>
          </cell>
          <cell r="B48">
            <v>0.14500000000000002</v>
          </cell>
          <cell r="D48">
            <v>9.6666666666666679E-2</v>
          </cell>
          <cell r="N48">
            <v>0.83015606979096968</v>
          </cell>
          <cell r="O48">
            <v>0.55343737986064645</v>
          </cell>
        </row>
        <row r="49">
          <cell r="A49">
            <v>4.8999999999999986</v>
          </cell>
          <cell r="B49">
            <v>0.14204081632653065</v>
          </cell>
          <cell r="D49">
            <v>9.4693877551020433E-2</v>
          </cell>
          <cell r="N49">
            <v>0.84745098791161466</v>
          </cell>
          <cell r="O49">
            <v>0.56496732527440974</v>
          </cell>
        </row>
        <row r="50">
          <cell r="A50">
            <v>4.9999999999999982</v>
          </cell>
          <cell r="B50">
            <v>0.13920000000000005</v>
          </cell>
          <cell r="D50">
            <v>9.2800000000000035E-2</v>
          </cell>
          <cell r="N50">
            <v>0.86474590603226009</v>
          </cell>
          <cell r="O50">
            <v>0.57649727068817336</v>
          </cell>
        </row>
      </sheetData>
      <sheetData sheetId="19">
        <row r="1">
          <cell r="D1" t="str">
            <v>ESPECTRO - MICROZONIFICACION SÍSMICA DE PEREIRA</v>
          </cell>
        </row>
        <row r="14">
          <cell r="A14">
            <v>0</v>
          </cell>
          <cell r="B14">
            <v>0.36</v>
          </cell>
        </row>
        <row r="15">
          <cell r="A15">
            <v>0.1</v>
          </cell>
          <cell r="B15">
            <v>0.89999999999999991</v>
          </cell>
        </row>
        <row r="16">
          <cell r="A16">
            <v>0.8</v>
          </cell>
          <cell r="B16">
            <v>0.89999999999999991</v>
          </cell>
          <cell r="K16" t="str">
            <v>Espec. Pereira, Zona 3</v>
          </cell>
        </row>
        <row r="17">
          <cell r="A17">
            <v>0.9</v>
          </cell>
          <cell r="B17">
            <v>0.79999999999999993</v>
          </cell>
        </row>
        <row r="18">
          <cell r="A18">
            <v>1</v>
          </cell>
          <cell r="B18">
            <v>0.72</v>
          </cell>
        </row>
        <row r="19">
          <cell r="A19">
            <v>1.1000000000000001</v>
          </cell>
          <cell r="B19">
            <v>0.65454545454545443</v>
          </cell>
        </row>
        <row r="20">
          <cell r="A20">
            <v>1.2000000000000002</v>
          </cell>
          <cell r="B20">
            <v>0.59999999999999987</v>
          </cell>
        </row>
        <row r="21">
          <cell r="A21">
            <v>1.3000000000000003</v>
          </cell>
          <cell r="B21">
            <v>0.55384615384615377</v>
          </cell>
        </row>
        <row r="22">
          <cell r="A22">
            <v>1.4000000000000004</v>
          </cell>
          <cell r="B22">
            <v>0.51428571428571412</v>
          </cell>
        </row>
        <row r="23">
          <cell r="A23">
            <v>1.5000000000000004</v>
          </cell>
          <cell r="B23">
            <v>0.47999999999999982</v>
          </cell>
        </row>
        <row r="24">
          <cell r="A24">
            <v>1.6000000000000005</v>
          </cell>
          <cell r="B24">
            <v>0.44999999999999984</v>
          </cell>
        </row>
        <row r="25">
          <cell r="A25">
            <v>1.7000000000000006</v>
          </cell>
          <cell r="B25">
            <v>0.42352941176470571</v>
          </cell>
        </row>
        <row r="26">
          <cell r="A26">
            <v>1.8000000000000007</v>
          </cell>
          <cell r="B26">
            <v>0.3999999999999998</v>
          </cell>
        </row>
        <row r="27">
          <cell r="A27">
            <v>1.9000000000000008</v>
          </cell>
          <cell r="B27">
            <v>0.37894736842105248</v>
          </cell>
        </row>
        <row r="28">
          <cell r="A28">
            <v>2.0000000000000009</v>
          </cell>
          <cell r="B28">
            <v>0.35999999999999982</v>
          </cell>
        </row>
        <row r="29">
          <cell r="A29">
            <v>2.100000000000001</v>
          </cell>
          <cell r="B29">
            <v>0.34285714285714269</v>
          </cell>
        </row>
        <row r="30">
          <cell r="A30">
            <v>2.2000000000000011</v>
          </cell>
          <cell r="B30">
            <v>0.3272727272727271</v>
          </cell>
        </row>
        <row r="31">
          <cell r="A31">
            <v>2.3000000000000012</v>
          </cell>
          <cell r="B31">
            <v>0.31304347826086942</v>
          </cell>
        </row>
        <row r="32">
          <cell r="A32">
            <v>2.4000000000000012</v>
          </cell>
          <cell r="B32">
            <v>0.29999999999999982</v>
          </cell>
        </row>
        <row r="33">
          <cell r="A33">
            <v>2.5000000000000013</v>
          </cell>
          <cell r="B33">
            <v>0.28799999999999981</v>
          </cell>
        </row>
        <row r="34">
          <cell r="A34">
            <v>2.6000000000000014</v>
          </cell>
          <cell r="B34">
            <v>0.27692307692307677</v>
          </cell>
        </row>
        <row r="35">
          <cell r="A35">
            <v>2.7000000000000015</v>
          </cell>
          <cell r="B35">
            <v>0.2666666666666665</v>
          </cell>
        </row>
        <row r="36">
          <cell r="A36">
            <v>2.8000000000000016</v>
          </cell>
          <cell r="B36">
            <v>0.25714285714285701</v>
          </cell>
        </row>
        <row r="37">
          <cell r="A37">
            <v>2.9000000000000017</v>
          </cell>
          <cell r="B37">
            <v>0.24827586206896538</v>
          </cell>
        </row>
        <row r="38">
          <cell r="A38">
            <v>3.0000000000000018</v>
          </cell>
          <cell r="B38">
            <v>0.23999999999999985</v>
          </cell>
        </row>
        <row r="39">
          <cell r="A39">
            <v>3.1000000000000019</v>
          </cell>
          <cell r="B39">
            <v>0.23225806451612888</v>
          </cell>
        </row>
        <row r="40">
          <cell r="A40">
            <v>3.200000000000002</v>
          </cell>
          <cell r="B40">
            <v>0.22499999999999987</v>
          </cell>
        </row>
        <row r="41">
          <cell r="A41">
            <v>3.300000000000002</v>
          </cell>
          <cell r="B41">
            <v>0.21818181818181803</v>
          </cell>
        </row>
        <row r="42">
          <cell r="A42">
            <v>3.4000000000000021</v>
          </cell>
          <cell r="B42">
            <v>0.2117647058823528</v>
          </cell>
        </row>
        <row r="43">
          <cell r="A43">
            <v>3.5000000000000022</v>
          </cell>
          <cell r="B43">
            <v>0.20571428571428557</v>
          </cell>
        </row>
        <row r="44">
          <cell r="A44">
            <v>3.6000000000000023</v>
          </cell>
          <cell r="B44">
            <v>0.19999999999999987</v>
          </cell>
        </row>
        <row r="45">
          <cell r="A45">
            <v>3.7000000000000024</v>
          </cell>
          <cell r="B45">
            <v>0.19459459459459447</v>
          </cell>
        </row>
        <row r="46">
          <cell r="A46">
            <v>3.8000000000000025</v>
          </cell>
          <cell r="B46">
            <v>0.18947368421052618</v>
          </cell>
        </row>
        <row r="47">
          <cell r="A47">
            <v>3.9000000000000026</v>
          </cell>
          <cell r="B47">
            <v>0.18461538461538449</v>
          </cell>
        </row>
        <row r="48">
          <cell r="A48">
            <v>4.0000000000000027</v>
          </cell>
          <cell r="B48">
            <v>0.18</v>
          </cell>
        </row>
        <row r="49">
          <cell r="A49">
            <v>4.1000000000000023</v>
          </cell>
          <cell r="B49">
            <v>0.18</v>
          </cell>
        </row>
      </sheetData>
      <sheetData sheetId="20">
        <row r="1">
          <cell r="D1" t="str">
            <v>ESPECTRO - MICROZONIFICACION SÍSMICA DE PEREIRA</v>
          </cell>
        </row>
        <row r="14">
          <cell r="A14">
            <v>0</v>
          </cell>
          <cell r="B14">
            <v>0.44</v>
          </cell>
        </row>
        <row r="15">
          <cell r="A15">
            <v>0.1</v>
          </cell>
          <cell r="B15">
            <v>1.1000000000000001</v>
          </cell>
        </row>
        <row r="16">
          <cell r="A16">
            <v>0.65</v>
          </cell>
          <cell r="B16">
            <v>1.1000000000000001</v>
          </cell>
        </row>
        <row r="17">
          <cell r="A17">
            <v>0.7</v>
          </cell>
          <cell r="B17">
            <v>1.0245714285714285</v>
          </cell>
          <cell r="K17" t="str">
            <v>Espec. Manizales, Zona A</v>
          </cell>
        </row>
        <row r="18">
          <cell r="A18">
            <v>0.79999999999999993</v>
          </cell>
          <cell r="B18">
            <v>0.89649999999999996</v>
          </cell>
        </row>
        <row r="19">
          <cell r="A19">
            <v>0.89999999999999991</v>
          </cell>
          <cell r="B19">
            <v>0.79688888888888887</v>
          </cell>
        </row>
        <row r="20">
          <cell r="A20">
            <v>0.99999999999999989</v>
          </cell>
          <cell r="B20">
            <v>0.71720000000000006</v>
          </cell>
        </row>
        <row r="21">
          <cell r="A21">
            <v>1.0999999999999999</v>
          </cell>
          <cell r="B21">
            <v>0.65200000000000002</v>
          </cell>
        </row>
        <row r="22">
          <cell r="A22">
            <v>1.2</v>
          </cell>
          <cell r="B22">
            <v>0.59766666666666668</v>
          </cell>
        </row>
        <row r="23">
          <cell r="A23">
            <v>1.3</v>
          </cell>
          <cell r="B23">
            <v>0.55169230769230759</v>
          </cell>
        </row>
        <row r="24">
          <cell r="A24">
            <v>1.4000000000000001</v>
          </cell>
          <cell r="B24">
            <v>0.51228571428571423</v>
          </cell>
        </row>
        <row r="25">
          <cell r="A25">
            <v>1.5000000000000002</v>
          </cell>
          <cell r="B25">
            <v>0.47813333333333324</v>
          </cell>
        </row>
        <row r="26">
          <cell r="A26">
            <v>1.6000000000000003</v>
          </cell>
          <cell r="B26">
            <v>0.44824999999999987</v>
          </cell>
        </row>
        <row r="27">
          <cell r="A27">
            <v>1.7000000000000004</v>
          </cell>
          <cell r="B27">
            <v>0.42188235294117632</v>
          </cell>
        </row>
        <row r="28">
          <cell r="A28">
            <v>1.8000000000000005</v>
          </cell>
          <cell r="B28">
            <v>0.39844444444444432</v>
          </cell>
        </row>
        <row r="29">
          <cell r="A29">
            <v>1.9000000000000006</v>
          </cell>
          <cell r="B29">
            <v>0.37747368421052618</v>
          </cell>
        </row>
        <row r="30">
          <cell r="A30">
            <v>2.0000000000000004</v>
          </cell>
          <cell r="B30">
            <v>0.35859999999999992</v>
          </cell>
        </row>
        <row r="31">
          <cell r="A31">
            <v>2.1000000000000005</v>
          </cell>
          <cell r="B31">
            <v>0.3415238095238094</v>
          </cell>
        </row>
        <row r="32">
          <cell r="A32">
            <v>2.2000000000000006</v>
          </cell>
          <cell r="B32">
            <v>0.3259999999999999</v>
          </cell>
        </row>
        <row r="33">
          <cell r="A33">
            <v>2.3000000000000007</v>
          </cell>
          <cell r="B33">
            <v>0.31182608695652164</v>
          </cell>
        </row>
        <row r="34">
          <cell r="A34">
            <v>2.4000000000000008</v>
          </cell>
          <cell r="B34">
            <v>0.29883333333333323</v>
          </cell>
        </row>
        <row r="35">
          <cell r="A35">
            <v>2.5000000000000009</v>
          </cell>
          <cell r="B35">
            <v>0.28687999999999986</v>
          </cell>
        </row>
        <row r="36">
          <cell r="A36">
            <v>2.600000000000001</v>
          </cell>
          <cell r="B36">
            <v>0.27584615384615374</v>
          </cell>
        </row>
        <row r="37">
          <cell r="A37">
            <v>2.7000000000000011</v>
          </cell>
          <cell r="B37">
            <v>0.26562962962962949</v>
          </cell>
        </row>
        <row r="38">
          <cell r="A38">
            <v>2.8000000000000012</v>
          </cell>
          <cell r="B38">
            <v>0.25614285714285701</v>
          </cell>
        </row>
        <row r="39">
          <cell r="A39">
            <v>2.9000000000000012</v>
          </cell>
          <cell r="B39">
            <v>0.24731034482758607</v>
          </cell>
        </row>
        <row r="40">
          <cell r="A40">
            <v>3.0000000000000013</v>
          </cell>
          <cell r="B40">
            <v>0.23906666666666654</v>
          </cell>
        </row>
        <row r="41">
          <cell r="A41">
            <v>3.1000000000000014</v>
          </cell>
          <cell r="B41">
            <v>0.2313548387096773</v>
          </cell>
        </row>
        <row r="42">
          <cell r="A42">
            <v>3.2000000000000015</v>
          </cell>
          <cell r="B42">
            <v>0.22412499999999988</v>
          </cell>
        </row>
        <row r="43">
          <cell r="A43">
            <v>3.3000000000000016</v>
          </cell>
          <cell r="B43">
            <v>0.22</v>
          </cell>
        </row>
        <row r="44">
          <cell r="A44">
            <v>3.4000000000000017</v>
          </cell>
          <cell r="B44">
            <v>0.22</v>
          </cell>
        </row>
        <row r="45">
          <cell r="A45">
            <v>3.5000000000000018</v>
          </cell>
          <cell r="B45">
            <v>0.22</v>
          </cell>
        </row>
        <row r="46">
          <cell r="A46">
            <v>3.6000000000000019</v>
          </cell>
          <cell r="B46">
            <v>0.22</v>
          </cell>
        </row>
        <row r="47">
          <cell r="A47">
            <v>3.700000000000002</v>
          </cell>
          <cell r="B47">
            <v>0.22</v>
          </cell>
        </row>
        <row r="48">
          <cell r="A48">
            <v>3.800000000000002</v>
          </cell>
          <cell r="B48">
            <v>0.22</v>
          </cell>
        </row>
        <row r="49">
          <cell r="A49">
            <v>3.9000000000000021</v>
          </cell>
          <cell r="B49">
            <v>0.22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94BC-E9EC-41C7-B938-D5420F1ADB9F}">
  <sheetPr>
    <tabColor rgb="FFFF0000"/>
  </sheetPr>
  <dimension ref="A1:O8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5.28515625" style="18" customWidth="1"/>
    <col min="3" max="3" width="20.42578125" customWidth="1"/>
    <col min="6" max="6" width="12.85546875" customWidth="1"/>
    <col min="15" max="15" width="59.7109375" customWidth="1"/>
  </cols>
  <sheetData>
    <row r="1" spans="1:6" x14ac:dyDescent="0.25">
      <c r="A1" s="1" t="s">
        <v>0</v>
      </c>
      <c r="B1" s="1"/>
      <c r="C1" s="2"/>
    </row>
    <row r="3" spans="1:6" x14ac:dyDescent="0.25">
      <c r="A3" t="s">
        <v>1</v>
      </c>
      <c r="B3" s="3" t="s">
        <v>2</v>
      </c>
      <c r="C3" s="3"/>
      <c r="D3" s="3"/>
      <c r="E3" s="3"/>
      <c r="F3" s="3"/>
    </row>
    <row r="4" spans="1:6" x14ac:dyDescent="0.25">
      <c r="A4" s="4" t="s">
        <v>3</v>
      </c>
      <c r="B4" s="5" t="s">
        <v>4</v>
      </c>
      <c r="C4" s="4"/>
      <c r="D4" s="4"/>
      <c r="E4" s="4"/>
      <c r="F4" s="4"/>
    </row>
    <row r="5" spans="1:6" x14ac:dyDescent="0.25">
      <c r="B5" s="6"/>
    </row>
    <row r="6" spans="1:6" x14ac:dyDescent="0.25">
      <c r="A6" t="s">
        <v>5</v>
      </c>
      <c r="B6" s="6" t="s">
        <v>6</v>
      </c>
    </row>
    <row r="7" spans="1:6" x14ac:dyDescent="0.25">
      <c r="A7" t="s">
        <v>7</v>
      </c>
      <c r="B7" s="6" t="s">
        <v>8</v>
      </c>
    </row>
    <row r="8" spans="1:6" ht="15" customHeight="1" x14ac:dyDescent="0.25">
      <c r="A8" s="7" t="s">
        <v>9</v>
      </c>
      <c r="B8" s="8" t="s">
        <v>10</v>
      </c>
      <c r="C8" s="8"/>
      <c r="D8" s="8"/>
      <c r="E8" s="8"/>
      <c r="F8" s="8"/>
    </row>
    <row r="9" spans="1:6" x14ac:dyDescent="0.25">
      <c r="B9"/>
    </row>
    <row r="10" spans="1:6" x14ac:dyDescent="0.25">
      <c r="A10" s="4" t="s">
        <v>11</v>
      </c>
      <c r="B10" s="9">
        <v>1580</v>
      </c>
      <c r="C10" s="4"/>
      <c r="D10" s="4"/>
      <c r="E10" s="4"/>
      <c r="F10" s="4"/>
    </row>
    <row r="12" spans="1:6" x14ac:dyDescent="0.25">
      <c r="A12" s="4" t="s">
        <v>12</v>
      </c>
      <c r="B12" s="5"/>
      <c r="C12" s="4"/>
      <c r="D12" s="4"/>
      <c r="E12" s="4"/>
      <c r="F12" s="4"/>
    </row>
    <row r="14" spans="1:6" x14ac:dyDescent="0.25">
      <c r="A14" s="1" t="s">
        <v>13</v>
      </c>
      <c r="B14" s="1"/>
      <c r="C14" s="2"/>
    </row>
    <row r="15" spans="1:6" x14ac:dyDescent="0.25">
      <c r="A15" t="s">
        <v>14</v>
      </c>
      <c r="B15" s="10">
        <f>3.5+2.7*15+1</f>
        <v>45</v>
      </c>
    </row>
    <row r="16" spans="1:6" x14ac:dyDescent="0.25">
      <c r="A16" t="s">
        <v>15</v>
      </c>
      <c r="B16" s="10">
        <v>34</v>
      </c>
    </row>
    <row r="17" spans="1:15" x14ac:dyDescent="0.25">
      <c r="A17" t="s">
        <v>16</v>
      </c>
      <c r="B17" s="11">
        <v>35</v>
      </c>
    </row>
    <row r="18" spans="1:15" x14ac:dyDescent="0.25">
      <c r="A18" s="4" t="s">
        <v>17</v>
      </c>
      <c r="B18" s="12">
        <v>16</v>
      </c>
      <c r="C18" s="4"/>
      <c r="D18" s="4"/>
      <c r="E18" s="4"/>
      <c r="F18" s="4"/>
    </row>
    <row r="20" spans="1:15" x14ac:dyDescent="0.25">
      <c r="A20" t="s">
        <v>18</v>
      </c>
      <c r="B20" s="10">
        <v>1</v>
      </c>
    </row>
    <row r="21" spans="1:15" x14ac:dyDescent="0.25">
      <c r="A21" t="s">
        <v>19</v>
      </c>
      <c r="B21" s="13">
        <v>0</v>
      </c>
    </row>
    <row r="22" spans="1:15" x14ac:dyDescent="0.25">
      <c r="A22" s="4"/>
      <c r="B22" s="14">
        <f>ROUND(ROUND(DEGREES(ATAN(B21)),1),1)</f>
        <v>0</v>
      </c>
      <c r="C22" s="15" t="s">
        <v>20</v>
      </c>
      <c r="D22" s="4"/>
      <c r="E22" s="4"/>
      <c r="F22" s="4"/>
    </row>
    <row r="23" spans="1:15" x14ac:dyDescent="0.25">
      <c r="B23" s="13"/>
    </row>
    <row r="24" spans="1:15" x14ac:dyDescent="0.25">
      <c r="A24" t="s">
        <v>21</v>
      </c>
      <c r="B24" s="13"/>
    </row>
    <row r="25" spans="1:15" ht="15.75" thickBot="1" x14ac:dyDescent="0.3">
      <c r="A25" s="4"/>
      <c r="B25" s="16">
        <f>B15-B20</f>
        <v>44</v>
      </c>
      <c r="C25" s="4"/>
      <c r="D25" s="4"/>
      <c r="E25" s="4"/>
      <c r="F25" s="4"/>
      <c r="O25" s="17"/>
    </row>
    <row r="26" spans="1:15" x14ac:dyDescent="0.25">
      <c r="M26" s="19" t="s">
        <v>22</v>
      </c>
      <c r="N26" s="20" t="s">
        <v>23</v>
      </c>
      <c r="O26" s="17"/>
    </row>
    <row r="27" spans="1:15" x14ac:dyDescent="0.25">
      <c r="A27" s="1" t="s">
        <v>24</v>
      </c>
      <c r="B27" s="1"/>
      <c r="C27" s="2"/>
      <c r="M27" s="21" t="s">
        <v>25</v>
      </c>
      <c r="N27" s="22">
        <v>1.5</v>
      </c>
      <c r="O27" s="17" t="s">
        <v>26</v>
      </c>
    </row>
    <row r="28" spans="1:15" x14ac:dyDescent="0.25">
      <c r="B28"/>
      <c r="M28" s="21" t="s">
        <v>27</v>
      </c>
      <c r="N28" s="22">
        <v>1.25</v>
      </c>
      <c r="O28" s="17" t="s">
        <v>28</v>
      </c>
    </row>
    <row r="29" spans="1:15" ht="15.75" x14ac:dyDescent="0.25">
      <c r="A29" t="s">
        <v>29</v>
      </c>
      <c r="B29"/>
      <c r="C29" s="23" t="s">
        <v>30</v>
      </c>
      <c r="D29" t="str">
        <f>VLOOKUP(C29,$M$25:$O$30,3,FALSE)</f>
        <v>Estructuras de ocupación normal</v>
      </c>
      <c r="M29" s="21" t="s">
        <v>31</v>
      </c>
      <c r="N29" s="22">
        <v>1.1000000000000001</v>
      </c>
      <c r="O29" s="17" t="s">
        <v>32</v>
      </c>
    </row>
    <row r="30" spans="1:15" ht="15.75" thickBot="1" x14ac:dyDescent="0.3">
      <c r="B30"/>
      <c r="M30" s="24" t="s">
        <v>30</v>
      </c>
      <c r="N30" s="25">
        <v>1</v>
      </c>
      <c r="O30" s="17" t="s">
        <v>33</v>
      </c>
    </row>
    <row r="31" spans="1:15" x14ac:dyDescent="0.25">
      <c r="A31" t="s">
        <v>34</v>
      </c>
      <c r="B31"/>
      <c r="C31" s="18" t="s">
        <v>35</v>
      </c>
    </row>
    <row r="32" spans="1:15" x14ac:dyDescent="0.25">
      <c r="B32"/>
      <c r="N32" t="s">
        <v>36</v>
      </c>
    </row>
    <row r="33" spans="1:14" ht="15" customHeight="1" x14ac:dyDescent="0.25">
      <c r="A33" s="26" t="s">
        <v>37</v>
      </c>
      <c r="B33"/>
      <c r="C33" s="27" t="s">
        <v>38</v>
      </c>
      <c r="D33" s="27"/>
      <c r="E33" s="27"/>
      <c r="M33" t="s">
        <v>39</v>
      </c>
      <c r="N33">
        <v>15</v>
      </c>
    </row>
    <row r="34" spans="1:14" x14ac:dyDescent="0.25">
      <c r="B34"/>
      <c r="M34" t="s">
        <v>40</v>
      </c>
      <c r="N34">
        <v>35</v>
      </c>
    </row>
    <row r="35" spans="1:14" hidden="1" outlineLevel="1" x14ac:dyDescent="0.25">
      <c r="A35" s="4" t="s">
        <v>41</v>
      </c>
      <c r="B35" s="4"/>
      <c r="C35" s="12" t="s">
        <v>39</v>
      </c>
      <c r="D35" s="12">
        <f>VLOOKUP(C35,$M$33:$N$35,2,FALSE)</f>
        <v>15</v>
      </c>
      <c r="E35" s="12" t="s">
        <v>42</v>
      </c>
      <c r="F35" s="4"/>
      <c r="M35" t="s">
        <v>43</v>
      </c>
      <c r="N35">
        <v>50</v>
      </c>
    </row>
    <row r="36" spans="1:14" collapsed="1" x14ac:dyDescent="0.25">
      <c r="A36" s="28"/>
      <c r="B36" s="28"/>
      <c r="C36" s="28"/>
      <c r="D36" s="28"/>
      <c r="E36" s="28"/>
      <c r="F36" s="28"/>
    </row>
    <row r="37" spans="1:14" x14ac:dyDescent="0.25">
      <c r="A37" s="1" t="s">
        <v>44</v>
      </c>
      <c r="B37" s="1"/>
      <c r="C37" s="2"/>
    </row>
    <row r="38" spans="1:14" x14ac:dyDescent="0.25">
      <c r="A38" s="18"/>
      <c r="B38"/>
    </row>
    <row r="39" spans="1:14" ht="18" x14ac:dyDescent="0.35">
      <c r="A39" t="s">
        <v>45</v>
      </c>
      <c r="B39"/>
      <c r="D39" s="29" t="s">
        <v>46</v>
      </c>
      <c r="E39">
        <f>IF(B6="Distrito",AaBOG,IF(B7="Armenia",AaARM,IF(B7="Pereira",AaPER,Aa)))</f>
        <v>0.25</v>
      </c>
    </row>
    <row r="40" spans="1:14" ht="18" x14ac:dyDescent="0.35">
      <c r="A40" t="s">
        <v>47</v>
      </c>
      <c r="B40"/>
      <c r="D40" s="29" t="s">
        <v>48</v>
      </c>
      <c r="E40">
        <f>IF(B6="Distrito",AvBOG,Av)</f>
        <v>0.25</v>
      </c>
    </row>
    <row r="41" spans="1:14" ht="18" x14ac:dyDescent="0.35">
      <c r="A41" t="s">
        <v>49</v>
      </c>
      <c r="B41"/>
      <c r="D41" s="29" t="s">
        <v>50</v>
      </c>
      <c r="E41">
        <f>IF(B6="Distrito",FaBOG,IF(B7="Armenia",FaARM,IF(B7="Pereira",FaPER,Fa)))</f>
        <v>1.76</v>
      </c>
    </row>
    <row r="42" spans="1:14" ht="18" x14ac:dyDescent="0.35">
      <c r="A42" s="4" t="s">
        <v>51</v>
      </c>
      <c r="B42" s="4"/>
      <c r="C42" s="4"/>
      <c r="D42" s="30" t="s">
        <v>52</v>
      </c>
      <c r="E42" s="4">
        <f>IF(B6="Distrito",FvBOG,IF(B7="Armenia",FvARM,IF(B7="Pereira",FvPER,Fv)))</f>
        <v>2.63</v>
      </c>
      <c r="F42" s="4"/>
    </row>
    <row r="44" spans="1:14" x14ac:dyDescent="0.25">
      <c r="A44" t="s">
        <v>53</v>
      </c>
    </row>
    <row r="45" spans="1:14" x14ac:dyDescent="0.25">
      <c r="D45" s="29" t="s">
        <v>54</v>
      </c>
      <c r="E45">
        <f>VLOOKUP($C$33,[1]BASE!$A$175:$C$180,2,FALSE)</f>
        <v>4.7E-2</v>
      </c>
    </row>
    <row r="46" spans="1:14" x14ac:dyDescent="0.25">
      <c r="A46" s="4"/>
      <c r="B46" s="12"/>
      <c r="C46" s="4"/>
      <c r="D46" s="30" t="s">
        <v>55</v>
      </c>
      <c r="E46" s="4">
        <f>VLOOKUP($C$33,[1]BASE!$A$175:$C$180,3,FALSE)</f>
        <v>0.9</v>
      </c>
      <c r="F46" s="4"/>
    </row>
    <row r="48" spans="1:14" x14ac:dyDescent="0.25">
      <c r="A48" s="1" t="s">
        <v>56</v>
      </c>
      <c r="B48" s="1"/>
      <c r="C48" s="2"/>
    </row>
    <row r="50" spans="1:13" x14ac:dyDescent="0.25">
      <c r="A50" s="18" t="s">
        <v>57</v>
      </c>
      <c r="M50" s="18" t="s">
        <v>58</v>
      </c>
    </row>
    <row r="51" spans="1:13" x14ac:dyDescent="0.25">
      <c r="A51" t="s">
        <v>59</v>
      </c>
      <c r="C51" s="6">
        <v>2</v>
      </c>
      <c r="L51" t="s">
        <v>60</v>
      </c>
      <c r="M51" t="s">
        <v>61</v>
      </c>
    </row>
    <row r="52" spans="1:13" x14ac:dyDescent="0.25">
      <c r="A52" s="4" t="s">
        <v>62</v>
      </c>
      <c r="B52" s="12"/>
      <c r="C52" s="31">
        <f>'[1]EvCargas W -CUB-A'!$D$13</f>
        <v>22</v>
      </c>
      <c r="D52" s="4"/>
      <c r="E52" s="4"/>
      <c r="F52" s="4"/>
      <c r="L52" t="s">
        <v>63</v>
      </c>
      <c r="M52" t="s">
        <v>64</v>
      </c>
    </row>
    <row r="53" spans="1:13" x14ac:dyDescent="0.25">
      <c r="C53" s="32"/>
      <c r="L53" t="s">
        <v>65</v>
      </c>
      <c r="M53" t="s">
        <v>66</v>
      </c>
    </row>
    <row r="54" spans="1:13" x14ac:dyDescent="0.25">
      <c r="A54" s="18" t="s">
        <v>67</v>
      </c>
      <c r="C54" s="32"/>
    </row>
    <row r="55" spans="1:13" x14ac:dyDescent="0.25">
      <c r="A55" s="18"/>
      <c r="C55" s="32"/>
    </row>
    <row r="56" spans="1:13" x14ac:dyDescent="0.25">
      <c r="A56" s="18" t="s">
        <v>68</v>
      </c>
      <c r="C56" s="33" t="s">
        <v>63</v>
      </c>
    </row>
    <row r="57" spans="1:13" ht="43.5" customHeight="1" x14ac:dyDescent="0.25">
      <c r="A57" s="34" t="str">
        <f>VLOOKUP($C$56,$L$51:$M$53,2,FALSE)</f>
        <v>Rugosidad de Terreno C — Terreno abierto con pocas obstrucciones y con alturas inferiores a 9.0 m. Esta categoría incluye campos planos abiertos, praderas y todas las superficies acuáticas en zonas propensas a huracanes.</v>
      </c>
      <c r="B57" s="34"/>
      <c r="C57" s="34"/>
      <c r="D57" s="34"/>
      <c r="E57" s="34"/>
      <c r="F57" s="34"/>
      <c r="M57" s="18" t="s">
        <v>69</v>
      </c>
    </row>
    <row r="58" spans="1:13" x14ac:dyDescent="0.25">
      <c r="A58" s="35"/>
      <c r="B58" s="35"/>
      <c r="C58" s="35"/>
      <c r="D58" s="35"/>
      <c r="E58" s="35"/>
      <c r="F58" s="35"/>
      <c r="L58" t="s">
        <v>60</v>
      </c>
      <c r="M58" t="s">
        <v>70</v>
      </c>
    </row>
    <row r="59" spans="1:13" x14ac:dyDescent="0.25">
      <c r="A59" s="18" t="s">
        <v>71</v>
      </c>
      <c r="B59" s="18" t="s">
        <v>63</v>
      </c>
      <c r="C59" s="32"/>
      <c r="L59" t="s">
        <v>63</v>
      </c>
      <c r="M59" t="s">
        <v>72</v>
      </c>
    </row>
    <row r="60" spans="1:13" ht="45" customHeight="1" x14ac:dyDescent="0.25">
      <c r="A60" s="34" t="str">
        <f>VLOOKUP($B$59,$L$58:$M$60,2,FALSE)</f>
        <v>Exposición C — La categoría de exposición C aplicará para todos los casos donde no apliquen las categorías B y D.</v>
      </c>
      <c r="B60" s="34"/>
      <c r="C60" s="34"/>
      <c r="D60" s="34"/>
      <c r="E60" s="34"/>
      <c r="F60" s="34"/>
      <c r="L60" t="s">
        <v>65</v>
      </c>
      <c r="M60" t="s">
        <v>73</v>
      </c>
    </row>
    <row r="61" spans="1:13" x14ac:dyDescent="0.25">
      <c r="A61" s="36" t="s">
        <v>74</v>
      </c>
      <c r="B61" s="6">
        <f>LOOKUP($A$62,'[1]EvCargas W -CUB-A'!$U$24:$U$27,'[1]EvCargas W -CUB-A'!$AC$24:$AC$27)</f>
        <v>2</v>
      </c>
      <c r="C61" s="35"/>
      <c r="D61" s="35"/>
      <c r="E61" s="35"/>
      <c r="F61" s="35"/>
    </row>
    <row r="62" spans="1:13" ht="30.75" customHeight="1" x14ac:dyDescent="0.25">
      <c r="A62" s="37" t="s">
        <v>75</v>
      </c>
      <c r="B62" s="37"/>
      <c r="C62" s="37"/>
      <c r="D62" s="37"/>
      <c r="E62" s="37"/>
      <c r="F62" s="37"/>
    </row>
    <row r="63" spans="1:13" outlineLevel="1" x14ac:dyDescent="0.25"/>
    <row r="64" spans="1:13" outlineLevel="1" x14ac:dyDescent="0.25">
      <c r="A64" s="18" t="s">
        <v>76</v>
      </c>
      <c r="C64" s="32"/>
    </row>
    <row r="65" spans="1:15" outlineLevel="1" x14ac:dyDescent="0.25">
      <c r="C65" s="32"/>
    </row>
    <row r="66" spans="1:15" outlineLevel="1" x14ac:dyDescent="0.25">
      <c r="C66" s="32"/>
    </row>
    <row r="67" spans="1:15" outlineLevel="1" x14ac:dyDescent="0.25">
      <c r="C67" s="32"/>
    </row>
    <row r="68" spans="1:15" outlineLevel="1" x14ac:dyDescent="0.25">
      <c r="C68" s="32"/>
    </row>
    <row r="69" spans="1:15" outlineLevel="1" x14ac:dyDescent="0.25">
      <c r="C69" s="32"/>
    </row>
    <row r="70" spans="1:15" outlineLevel="1" x14ac:dyDescent="0.25">
      <c r="C70" s="32"/>
    </row>
    <row r="71" spans="1:15" outlineLevel="1" x14ac:dyDescent="0.25">
      <c r="C71" s="32"/>
    </row>
    <row r="72" spans="1:15" outlineLevel="1" x14ac:dyDescent="0.25">
      <c r="C72" s="32"/>
    </row>
    <row r="73" spans="1:15" outlineLevel="1" x14ac:dyDescent="0.25">
      <c r="C73" s="32"/>
    </row>
    <row r="74" spans="1:15" outlineLevel="1" x14ac:dyDescent="0.25">
      <c r="C74" s="32"/>
    </row>
    <row r="75" spans="1:15" outlineLevel="1" x14ac:dyDescent="0.25"/>
    <row r="76" spans="1:15" x14ac:dyDescent="0.25">
      <c r="A76" s="1" t="s">
        <v>77</v>
      </c>
      <c r="B76" s="1"/>
      <c r="C76" s="2"/>
    </row>
    <row r="77" spans="1:15" x14ac:dyDescent="0.25">
      <c r="L77" t="s">
        <v>78</v>
      </c>
      <c r="M77" t="s">
        <v>79</v>
      </c>
      <c r="N77" s="38" t="s">
        <v>80</v>
      </c>
      <c r="O77" t="s">
        <v>79</v>
      </c>
    </row>
    <row r="78" spans="1:15" ht="14.25" customHeight="1" x14ac:dyDescent="0.25">
      <c r="A78" t="s">
        <v>81</v>
      </c>
      <c r="B78" s="39" t="s">
        <v>82</v>
      </c>
      <c r="C78" s="39"/>
      <c r="D78" s="18" t="str">
        <f>VLOOKUP($B$78,$L$77:$O$79,2,FALSE)</f>
        <v>B.2.3</v>
      </c>
      <c r="E78" s="40">
        <f>VLOOKUP($B$78,$L$77:$O$79,3,FALSE)</f>
        <v>11</v>
      </c>
      <c r="L78" t="s">
        <v>82</v>
      </c>
      <c r="M78" s="38" t="s">
        <v>83</v>
      </c>
      <c r="N78" s="38">
        <f>'[1]EvCargas W -CUB-A'!$K$23</f>
        <v>11</v>
      </c>
      <c r="O78" s="35" t="s">
        <v>84</v>
      </c>
    </row>
    <row r="79" spans="1:15" ht="14.25" customHeight="1" x14ac:dyDescent="0.25">
      <c r="L79" t="s">
        <v>85</v>
      </c>
      <c r="M79" s="38" t="s">
        <v>86</v>
      </c>
      <c r="N79" s="38">
        <f>'[1]EvCargas W -CUB-A'!$M$23</f>
        <v>13</v>
      </c>
      <c r="O79" s="35" t="s">
        <v>87</v>
      </c>
    </row>
    <row r="80" spans="1:15" ht="211.5" customHeight="1" x14ac:dyDescent="0.25">
      <c r="A80" s="41" t="str">
        <f>VLOOKUP($B$78,$L$77:$O$79,4,FALSE)</f>
        <v xml:space="preserve">B.2.4.2 — COMBINACIONES BÁSICAS — El diseño de las estructuras, sus componentes y cimentaciones debe hacerse de tal forma que sus resistencias de diseño igualen o excedan los efectos producidos por las cargas mayoradas en las siguientes combinaciones:
1.4D                                                            (B.2.4-1)
1.2D+ 1.6L + 0.5(Lr ó G ó Le )             (B.2.4-2)
1.2D+ 1.6 Lr ó G ó Le + 1.0L ó 0.5W  (B.2.4-3)
1.2D+ 1.0W+ 1.0L + 0.5 Lr ó G ó Le   (B.2.4-4)
1.2D+ 1.0E + 1.0L                                    (B.2.4-5)
0.9D+ 1.0W                                               (B.2.4-6)
0.9D+ 1.0E                                                 (B.2.4-7)
</v>
      </c>
      <c r="B80" s="41"/>
      <c r="C80" s="41"/>
      <c r="D80" s="41"/>
      <c r="E80" s="41"/>
      <c r="F80" s="41"/>
    </row>
  </sheetData>
  <mergeCells count="8">
    <mergeCell ref="B78:C78"/>
    <mergeCell ref="A80:F80"/>
    <mergeCell ref="B3:F3"/>
    <mergeCell ref="B8:F8"/>
    <mergeCell ref="C33:E33"/>
    <mergeCell ref="A57:F57"/>
    <mergeCell ref="A60:F60"/>
    <mergeCell ref="A62:F62"/>
  </mergeCells>
  <dataValidations count="7">
    <dataValidation type="list" allowBlank="1" showInputMessage="1" showErrorMessage="1" sqref="B78" xr:uid="{7874F4DD-FF8B-453C-94E1-E6D40F048205}">
      <formula1>$L$78:$L$79</formula1>
    </dataValidation>
    <dataValidation type="list" allowBlank="1" showInputMessage="1" showErrorMessage="1" sqref="B59" xr:uid="{005499A4-470E-4ED2-98B3-C4FFD9E66FD7}">
      <formula1>$L$58:$L$60</formula1>
    </dataValidation>
    <dataValidation type="list" allowBlank="1" showInputMessage="1" showErrorMessage="1" sqref="C56" xr:uid="{3D61E9A4-DC53-46F8-99F1-7679363E7916}">
      <formula1>$L$51:$L$53</formula1>
    </dataValidation>
    <dataValidation type="list" allowBlank="1" showInputMessage="1" showErrorMessage="1" sqref="C35" xr:uid="{10C9993E-515A-4370-832C-CED79B6FA92C}">
      <formula1>$M$33:$M$35</formula1>
    </dataValidation>
    <dataValidation type="list" allowBlank="1" showInputMessage="1" showErrorMessage="1" sqref="C29" xr:uid="{9A7CEEBB-6D31-4F12-B7C5-5E97CCBA5DB1}">
      <formula1>$M$27:$M$30</formula1>
    </dataValidation>
    <dataValidation type="list" allowBlank="1" showInputMessage="1" showErrorMessage="1" sqref="B7" xr:uid="{2DB11124-3B8B-4F25-A993-315DF47AF7A0}">
      <formula1>INDIRECT($B$6)</formula1>
    </dataValidation>
    <dataValidation type="list" allowBlank="1" showInputMessage="1" showErrorMessage="1" sqref="B6" xr:uid="{BC66B6C3-A8B9-4AC0-9514-9F25F5F537C3}">
      <formula1>Departamento</formula1>
    </dataValidation>
  </dataValidations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D24C-B381-4379-9D0F-0964CFA0A756}">
  <dimension ref="A1:N49"/>
  <sheetViews>
    <sheetView showGridLines="0" view="pageBreakPreview" zoomScale="85" zoomScaleNormal="85" zoomScaleSheetLayoutView="85" workbookViewId="0"/>
  </sheetViews>
  <sheetFormatPr baseColWidth="10" defaultRowHeight="14.25" x14ac:dyDescent="0.2"/>
  <cols>
    <col min="1" max="1" width="7.42578125" style="17" bestFit="1" customWidth="1"/>
    <col min="2" max="2" width="7.85546875" style="17" customWidth="1"/>
    <col min="3" max="3" width="5.85546875" style="17" customWidth="1"/>
    <col min="4" max="4" width="4.7109375" style="17" bestFit="1" customWidth="1"/>
    <col min="5" max="5" width="8.140625" style="17" customWidth="1"/>
    <col min="6" max="11" width="11.42578125" style="17"/>
    <col min="12" max="12" width="12.28515625" style="17" customWidth="1"/>
    <col min="13" max="252" width="11.42578125" style="17"/>
    <col min="253" max="253" width="7.42578125" style="17" bestFit="1" customWidth="1"/>
    <col min="254" max="254" width="7.85546875" style="17" customWidth="1"/>
    <col min="255" max="255" width="5.85546875" style="17" customWidth="1"/>
    <col min="256" max="256" width="4.7109375" style="17" bestFit="1" customWidth="1"/>
    <col min="257" max="257" width="8.140625" style="17" customWidth="1"/>
    <col min="258" max="268" width="11.42578125" style="17"/>
    <col min="269" max="269" width="2" style="17" bestFit="1" customWidth="1"/>
    <col min="270" max="508" width="11.42578125" style="17"/>
    <col min="509" max="509" width="7.42578125" style="17" bestFit="1" customWidth="1"/>
    <col min="510" max="510" width="7.85546875" style="17" customWidth="1"/>
    <col min="511" max="511" width="5.85546875" style="17" customWidth="1"/>
    <col min="512" max="512" width="4.7109375" style="17" bestFit="1" customWidth="1"/>
    <col min="513" max="513" width="8.140625" style="17" customWidth="1"/>
    <col min="514" max="524" width="11.42578125" style="17"/>
    <col min="525" max="525" width="2" style="17" bestFit="1" customWidth="1"/>
    <col min="526" max="764" width="11.42578125" style="17"/>
    <col min="765" max="765" width="7.42578125" style="17" bestFit="1" customWidth="1"/>
    <col min="766" max="766" width="7.85546875" style="17" customWidth="1"/>
    <col min="767" max="767" width="5.85546875" style="17" customWidth="1"/>
    <col min="768" max="768" width="4.7109375" style="17" bestFit="1" customWidth="1"/>
    <col min="769" max="769" width="8.140625" style="17" customWidth="1"/>
    <col min="770" max="780" width="11.42578125" style="17"/>
    <col min="781" max="781" width="2" style="17" bestFit="1" customWidth="1"/>
    <col min="782" max="1020" width="11.42578125" style="17"/>
    <col min="1021" max="1021" width="7.42578125" style="17" bestFit="1" customWidth="1"/>
    <col min="1022" max="1022" width="7.85546875" style="17" customWidth="1"/>
    <col min="1023" max="1023" width="5.85546875" style="17" customWidth="1"/>
    <col min="1024" max="1024" width="4.7109375" style="17" bestFit="1" customWidth="1"/>
    <col min="1025" max="1025" width="8.140625" style="17" customWidth="1"/>
    <col min="1026" max="1036" width="11.42578125" style="17"/>
    <col min="1037" max="1037" width="2" style="17" bestFit="1" customWidth="1"/>
    <col min="1038" max="1276" width="11.42578125" style="17"/>
    <col min="1277" max="1277" width="7.42578125" style="17" bestFit="1" customWidth="1"/>
    <col min="1278" max="1278" width="7.85546875" style="17" customWidth="1"/>
    <col min="1279" max="1279" width="5.85546875" style="17" customWidth="1"/>
    <col min="1280" max="1280" width="4.7109375" style="17" bestFit="1" customWidth="1"/>
    <col min="1281" max="1281" width="8.140625" style="17" customWidth="1"/>
    <col min="1282" max="1292" width="11.42578125" style="17"/>
    <col min="1293" max="1293" width="2" style="17" bestFit="1" customWidth="1"/>
    <col min="1294" max="1532" width="11.42578125" style="17"/>
    <col min="1533" max="1533" width="7.42578125" style="17" bestFit="1" customWidth="1"/>
    <col min="1534" max="1534" width="7.85546875" style="17" customWidth="1"/>
    <col min="1535" max="1535" width="5.85546875" style="17" customWidth="1"/>
    <col min="1536" max="1536" width="4.7109375" style="17" bestFit="1" customWidth="1"/>
    <col min="1537" max="1537" width="8.140625" style="17" customWidth="1"/>
    <col min="1538" max="1548" width="11.42578125" style="17"/>
    <col min="1549" max="1549" width="2" style="17" bestFit="1" customWidth="1"/>
    <col min="1550" max="1788" width="11.42578125" style="17"/>
    <col min="1789" max="1789" width="7.42578125" style="17" bestFit="1" customWidth="1"/>
    <col min="1790" max="1790" width="7.85546875" style="17" customWidth="1"/>
    <col min="1791" max="1791" width="5.85546875" style="17" customWidth="1"/>
    <col min="1792" max="1792" width="4.7109375" style="17" bestFit="1" customWidth="1"/>
    <col min="1793" max="1793" width="8.140625" style="17" customWidth="1"/>
    <col min="1794" max="1804" width="11.42578125" style="17"/>
    <col min="1805" max="1805" width="2" style="17" bestFit="1" customWidth="1"/>
    <col min="1806" max="2044" width="11.42578125" style="17"/>
    <col min="2045" max="2045" width="7.42578125" style="17" bestFit="1" customWidth="1"/>
    <col min="2046" max="2046" width="7.85546875" style="17" customWidth="1"/>
    <col min="2047" max="2047" width="5.85546875" style="17" customWidth="1"/>
    <col min="2048" max="2048" width="4.7109375" style="17" bestFit="1" customWidth="1"/>
    <col min="2049" max="2049" width="8.140625" style="17" customWidth="1"/>
    <col min="2050" max="2060" width="11.42578125" style="17"/>
    <col min="2061" max="2061" width="2" style="17" bestFit="1" customWidth="1"/>
    <col min="2062" max="2300" width="11.42578125" style="17"/>
    <col min="2301" max="2301" width="7.42578125" style="17" bestFit="1" customWidth="1"/>
    <col min="2302" max="2302" width="7.85546875" style="17" customWidth="1"/>
    <col min="2303" max="2303" width="5.85546875" style="17" customWidth="1"/>
    <col min="2304" max="2304" width="4.7109375" style="17" bestFit="1" customWidth="1"/>
    <col min="2305" max="2305" width="8.140625" style="17" customWidth="1"/>
    <col min="2306" max="2316" width="11.42578125" style="17"/>
    <col min="2317" max="2317" width="2" style="17" bestFit="1" customWidth="1"/>
    <col min="2318" max="2556" width="11.42578125" style="17"/>
    <col min="2557" max="2557" width="7.42578125" style="17" bestFit="1" customWidth="1"/>
    <col min="2558" max="2558" width="7.85546875" style="17" customWidth="1"/>
    <col min="2559" max="2559" width="5.85546875" style="17" customWidth="1"/>
    <col min="2560" max="2560" width="4.7109375" style="17" bestFit="1" customWidth="1"/>
    <col min="2561" max="2561" width="8.140625" style="17" customWidth="1"/>
    <col min="2562" max="2572" width="11.42578125" style="17"/>
    <col min="2573" max="2573" width="2" style="17" bestFit="1" customWidth="1"/>
    <col min="2574" max="2812" width="11.42578125" style="17"/>
    <col min="2813" max="2813" width="7.42578125" style="17" bestFit="1" customWidth="1"/>
    <col min="2814" max="2814" width="7.85546875" style="17" customWidth="1"/>
    <col min="2815" max="2815" width="5.85546875" style="17" customWidth="1"/>
    <col min="2816" max="2816" width="4.7109375" style="17" bestFit="1" customWidth="1"/>
    <col min="2817" max="2817" width="8.140625" style="17" customWidth="1"/>
    <col min="2818" max="2828" width="11.42578125" style="17"/>
    <col min="2829" max="2829" width="2" style="17" bestFit="1" customWidth="1"/>
    <col min="2830" max="3068" width="11.42578125" style="17"/>
    <col min="3069" max="3069" width="7.42578125" style="17" bestFit="1" customWidth="1"/>
    <col min="3070" max="3070" width="7.85546875" style="17" customWidth="1"/>
    <col min="3071" max="3071" width="5.85546875" style="17" customWidth="1"/>
    <col min="3072" max="3072" width="4.7109375" style="17" bestFit="1" customWidth="1"/>
    <col min="3073" max="3073" width="8.140625" style="17" customWidth="1"/>
    <col min="3074" max="3084" width="11.42578125" style="17"/>
    <col min="3085" max="3085" width="2" style="17" bestFit="1" customWidth="1"/>
    <col min="3086" max="3324" width="11.42578125" style="17"/>
    <col min="3325" max="3325" width="7.42578125" style="17" bestFit="1" customWidth="1"/>
    <col min="3326" max="3326" width="7.85546875" style="17" customWidth="1"/>
    <col min="3327" max="3327" width="5.85546875" style="17" customWidth="1"/>
    <col min="3328" max="3328" width="4.7109375" style="17" bestFit="1" customWidth="1"/>
    <col min="3329" max="3329" width="8.140625" style="17" customWidth="1"/>
    <col min="3330" max="3340" width="11.42578125" style="17"/>
    <col min="3341" max="3341" width="2" style="17" bestFit="1" customWidth="1"/>
    <col min="3342" max="3580" width="11.42578125" style="17"/>
    <col min="3581" max="3581" width="7.42578125" style="17" bestFit="1" customWidth="1"/>
    <col min="3582" max="3582" width="7.85546875" style="17" customWidth="1"/>
    <col min="3583" max="3583" width="5.85546875" style="17" customWidth="1"/>
    <col min="3584" max="3584" width="4.7109375" style="17" bestFit="1" customWidth="1"/>
    <col min="3585" max="3585" width="8.140625" style="17" customWidth="1"/>
    <col min="3586" max="3596" width="11.42578125" style="17"/>
    <col min="3597" max="3597" width="2" style="17" bestFit="1" customWidth="1"/>
    <col min="3598" max="3836" width="11.42578125" style="17"/>
    <col min="3837" max="3837" width="7.42578125" style="17" bestFit="1" customWidth="1"/>
    <col min="3838" max="3838" width="7.85546875" style="17" customWidth="1"/>
    <col min="3839" max="3839" width="5.85546875" style="17" customWidth="1"/>
    <col min="3840" max="3840" width="4.7109375" style="17" bestFit="1" customWidth="1"/>
    <col min="3841" max="3841" width="8.140625" style="17" customWidth="1"/>
    <col min="3842" max="3852" width="11.42578125" style="17"/>
    <col min="3853" max="3853" width="2" style="17" bestFit="1" customWidth="1"/>
    <col min="3854" max="4092" width="11.42578125" style="17"/>
    <col min="4093" max="4093" width="7.42578125" style="17" bestFit="1" customWidth="1"/>
    <col min="4094" max="4094" width="7.85546875" style="17" customWidth="1"/>
    <col min="4095" max="4095" width="5.85546875" style="17" customWidth="1"/>
    <col min="4096" max="4096" width="4.7109375" style="17" bestFit="1" customWidth="1"/>
    <col min="4097" max="4097" width="8.140625" style="17" customWidth="1"/>
    <col min="4098" max="4108" width="11.42578125" style="17"/>
    <col min="4109" max="4109" width="2" style="17" bestFit="1" customWidth="1"/>
    <col min="4110" max="4348" width="11.42578125" style="17"/>
    <col min="4349" max="4349" width="7.42578125" style="17" bestFit="1" customWidth="1"/>
    <col min="4350" max="4350" width="7.85546875" style="17" customWidth="1"/>
    <col min="4351" max="4351" width="5.85546875" style="17" customWidth="1"/>
    <col min="4352" max="4352" width="4.7109375" style="17" bestFit="1" customWidth="1"/>
    <col min="4353" max="4353" width="8.140625" style="17" customWidth="1"/>
    <col min="4354" max="4364" width="11.42578125" style="17"/>
    <col min="4365" max="4365" width="2" style="17" bestFit="1" customWidth="1"/>
    <col min="4366" max="4604" width="11.42578125" style="17"/>
    <col min="4605" max="4605" width="7.42578125" style="17" bestFit="1" customWidth="1"/>
    <col min="4606" max="4606" width="7.85546875" style="17" customWidth="1"/>
    <col min="4607" max="4607" width="5.85546875" style="17" customWidth="1"/>
    <col min="4608" max="4608" width="4.7109375" style="17" bestFit="1" customWidth="1"/>
    <col min="4609" max="4609" width="8.140625" style="17" customWidth="1"/>
    <col min="4610" max="4620" width="11.42578125" style="17"/>
    <col min="4621" max="4621" width="2" style="17" bestFit="1" customWidth="1"/>
    <col min="4622" max="4860" width="11.42578125" style="17"/>
    <col min="4861" max="4861" width="7.42578125" style="17" bestFit="1" customWidth="1"/>
    <col min="4862" max="4862" width="7.85546875" style="17" customWidth="1"/>
    <col min="4863" max="4863" width="5.85546875" style="17" customWidth="1"/>
    <col min="4864" max="4864" width="4.7109375" style="17" bestFit="1" customWidth="1"/>
    <col min="4865" max="4865" width="8.140625" style="17" customWidth="1"/>
    <col min="4866" max="4876" width="11.42578125" style="17"/>
    <col min="4877" max="4877" width="2" style="17" bestFit="1" customWidth="1"/>
    <col min="4878" max="5116" width="11.42578125" style="17"/>
    <col min="5117" max="5117" width="7.42578125" style="17" bestFit="1" customWidth="1"/>
    <col min="5118" max="5118" width="7.85546875" style="17" customWidth="1"/>
    <col min="5119" max="5119" width="5.85546875" style="17" customWidth="1"/>
    <col min="5120" max="5120" width="4.7109375" style="17" bestFit="1" customWidth="1"/>
    <col min="5121" max="5121" width="8.140625" style="17" customWidth="1"/>
    <col min="5122" max="5132" width="11.42578125" style="17"/>
    <col min="5133" max="5133" width="2" style="17" bestFit="1" customWidth="1"/>
    <col min="5134" max="5372" width="11.42578125" style="17"/>
    <col min="5373" max="5373" width="7.42578125" style="17" bestFit="1" customWidth="1"/>
    <col min="5374" max="5374" width="7.85546875" style="17" customWidth="1"/>
    <col min="5375" max="5375" width="5.85546875" style="17" customWidth="1"/>
    <col min="5376" max="5376" width="4.7109375" style="17" bestFit="1" customWidth="1"/>
    <col min="5377" max="5377" width="8.140625" style="17" customWidth="1"/>
    <col min="5378" max="5388" width="11.42578125" style="17"/>
    <col min="5389" max="5389" width="2" style="17" bestFit="1" customWidth="1"/>
    <col min="5390" max="5628" width="11.42578125" style="17"/>
    <col min="5629" max="5629" width="7.42578125" style="17" bestFit="1" customWidth="1"/>
    <col min="5630" max="5630" width="7.85546875" style="17" customWidth="1"/>
    <col min="5631" max="5631" width="5.85546875" style="17" customWidth="1"/>
    <col min="5632" max="5632" width="4.7109375" style="17" bestFit="1" customWidth="1"/>
    <col min="5633" max="5633" width="8.140625" style="17" customWidth="1"/>
    <col min="5634" max="5644" width="11.42578125" style="17"/>
    <col min="5645" max="5645" width="2" style="17" bestFit="1" customWidth="1"/>
    <col min="5646" max="5884" width="11.42578125" style="17"/>
    <col min="5885" max="5885" width="7.42578125" style="17" bestFit="1" customWidth="1"/>
    <col min="5886" max="5886" width="7.85546875" style="17" customWidth="1"/>
    <col min="5887" max="5887" width="5.85546875" style="17" customWidth="1"/>
    <col min="5888" max="5888" width="4.7109375" style="17" bestFit="1" customWidth="1"/>
    <col min="5889" max="5889" width="8.140625" style="17" customWidth="1"/>
    <col min="5890" max="5900" width="11.42578125" style="17"/>
    <col min="5901" max="5901" width="2" style="17" bestFit="1" customWidth="1"/>
    <col min="5902" max="6140" width="11.42578125" style="17"/>
    <col min="6141" max="6141" width="7.42578125" style="17" bestFit="1" customWidth="1"/>
    <col min="6142" max="6142" width="7.85546875" style="17" customWidth="1"/>
    <col min="6143" max="6143" width="5.85546875" style="17" customWidth="1"/>
    <col min="6144" max="6144" width="4.7109375" style="17" bestFit="1" customWidth="1"/>
    <col min="6145" max="6145" width="8.140625" style="17" customWidth="1"/>
    <col min="6146" max="6156" width="11.42578125" style="17"/>
    <col min="6157" max="6157" width="2" style="17" bestFit="1" customWidth="1"/>
    <col min="6158" max="6396" width="11.42578125" style="17"/>
    <col min="6397" max="6397" width="7.42578125" style="17" bestFit="1" customWidth="1"/>
    <col min="6398" max="6398" width="7.85546875" style="17" customWidth="1"/>
    <col min="6399" max="6399" width="5.85546875" style="17" customWidth="1"/>
    <col min="6400" max="6400" width="4.7109375" style="17" bestFit="1" customWidth="1"/>
    <col min="6401" max="6401" width="8.140625" style="17" customWidth="1"/>
    <col min="6402" max="6412" width="11.42578125" style="17"/>
    <col min="6413" max="6413" width="2" style="17" bestFit="1" customWidth="1"/>
    <col min="6414" max="6652" width="11.42578125" style="17"/>
    <col min="6653" max="6653" width="7.42578125" style="17" bestFit="1" customWidth="1"/>
    <col min="6654" max="6654" width="7.85546875" style="17" customWidth="1"/>
    <col min="6655" max="6655" width="5.85546875" style="17" customWidth="1"/>
    <col min="6656" max="6656" width="4.7109375" style="17" bestFit="1" customWidth="1"/>
    <col min="6657" max="6657" width="8.140625" style="17" customWidth="1"/>
    <col min="6658" max="6668" width="11.42578125" style="17"/>
    <col min="6669" max="6669" width="2" style="17" bestFit="1" customWidth="1"/>
    <col min="6670" max="6908" width="11.42578125" style="17"/>
    <col min="6909" max="6909" width="7.42578125" style="17" bestFit="1" customWidth="1"/>
    <col min="6910" max="6910" width="7.85546875" style="17" customWidth="1"/>
    <col min="6911" max="6911" width="5.85546875" style="17" customWidth="1"/>
    <col min="6912" max="6912" width="4.7109375" style="17" bestFit="1" customWidth="1"/>
    <col min="6913" max="6913" width="8.140625" style="17" customWidth="1"/>
    <col min="6914" max="6924" width="11.42578125" style="17"/>
    <col min="6925" max="6925" width="2" style="17" bestFit="1" customWidth="1"/>
    <col min="6926" max="7164" width="11.42578125" style="17"/>
    <col min="7165" max="7165" width="7.42578125" style="17" bestFit="1" customWidth="1"/>
    <col min="7166" max="7166" width="7.85546875" style="17" customWidth="1"/>
    <col min="7167" max="7167" width="5.85546875" style="17" customWidth="1"/>
    <col min="7168" max="7168" width="4.7109375" style="17" bestFit="1" customWidth="1"/>
    <col min="7169" max="7169" width="8.140625" style="17" customWidth="1"/>
    <col min="7170" max="7180" width="11.42578125" style="17"/>
    <col min="7181" max="7181" width="2" style="17" bestFit="1" customWidth="1"/>
    <col min="7182" max="7420" width="11.42578125" style="17"/>
    <col min="7421" max="7421" width="7.42578125" style="17" bestFit="1" customWidth="1"/>
    <col min="7422" max="7422" width="7.85546875" style="17" customWidth="1"/>
    <col min="7423" max="7423" width="5.85546875" style="17" customWidth="1"/>
    <col min="7424" max="7424" width="4.7109375" style="17" bestFit="1" customWidth="1"/>
    <col min="7425" max="7425" width="8.140625" style="17" customWidth="1"/>
    <col min="7426" max="7436" width="11.42578125" style="17"/>
    <col min="7437" max="7437" width="2" style="17" bestFit="1" customWidth="1"/>
    <col min="7438" max="7676" width="11.42578125" style="17"/>
    <col min="7677" max="7677" width="7.42578125" style="17" bestFit="1" customWidth="1"/>
    <col min="7678" max="7678" width="7.85546875" style="17" customWidth="1"/>
    <col min="7679" max="7679" width="5.85546875" style="17" customWidth="1"/>
    <col min="7680" max="7680" width="4.7109375" style="17" bestFit="1" customWidth="1"/>
    <col min="7681" max="7681" width="8.140625" style="17" customWidth="1"/>
    <col min="7682" max="7692" width="11.42578125" style="17"/>
    <col min="7693" max="7693" width="2" style="17" bestFit="1" customWidth="1"/>
    <col min="7694" max="7932" width="11.42578125" style="17"/>
    <col min="7933" max="7933" width="7.42578125" style="17" bestFit="1" customWidth="1"/>
    <col min="7934" max="7934" width="7.85546875" style="17" customWidth="1"/>
    <col min="7935" max="7935" width="5.85546875" style="17" customWidth="1"/>
    <col min="7936" max="7936" width="4.7109375" style="17" bestFit="1" customWidth="1"/>
    <col min="7937" max="7937" width="8.140625" style="17" customWidth="1"/>
    <col min="7938" max="7948" width="11.42578125" style="17"/>
    <col min="7949" max="7949" width="2" style="17" bestFit="1" customWidth="1"/>
    <col min="7950" max="8188" width="11.42578125" style="17"/>
    <col min="8189" max="8189" width="7.42578125" style="17" bestFit="1" customWidth="1"/>
    <col min="8190" max="8190" width="7.85546875" style="17" customWidth="1"/>
    <col min="8191" max="8191" width="5.85546875" style="17" customWidth="1"/>
    <col min="8192" max="8192" width="4.7109375" style="17" bestFit="1" customWidth="1"/>
    <col min="8193" max="8193" width="8.140625" style="17" customWidth="1"/>
    <col min="8194" max="8204" width="11.42578125" style="17"/>
    <col min="8205" max="8205" width="2" style="17" bestFit="1" customWidth="1"/>
    <col min="8206" max="8444" width="11.42578125" style="17"/>
    <col min="8445" max="8445" width="7.42578125" style="17" bestFit="1" customWidth="1"/>
    <col min="8446" max="8446" width="7.85546875" style="17" customWidth="1"/>
    <col min="8447" max="8447" width="5.85546875" style="17" customWidth="1"/>
    <col min="8448" max="8448" width="4.7109375" style="17" bestFit="1" customWidth="1"/>
    <col min="8449" max="8449" width="8.140625" style="17" customWidth="1"/>
    <col min="8450" max="8460" width="11.42578125" style="17"/>
    <col min="8461" max="8461" width="2" style="17" bestFit="1" customWidth="1"/>
    <col min="8462" max="8700" width="11.42578125" style="17"/>
    <col min="8701" max="8701" width="7.42578125" style="17" bestFit="1" customWidth="1"/>
    <col min="8702" max="8702" width="7.85546875" style="17" customWidth="1"/>
    <col min="8703" max="8703" width="5.85546875" style="17" customWidth="1"/>
    <col min="8704" max="8704" width="4.7109375" style="17" bestFit="1" customWidth="1"/>
    <col min="8705" max="8705" width="8.140625" style="17" customWidth="1"/>
    <col min="8706" max="8716" width="11.42578125" style="17"/>
    <col min="8717" max="8717" width="2" style="17" bestFit="1" customWidth="1"/>
    <col min="8718" max="8956" width="11.42578125" style="17"/>
    <col min="8957" max="8957" width="7.42578125" style="17" bestFit="1" customWidth="1"/>
    <col min="8958" max="8958" width="7.85546875" style="17" customWidth="1"/>
    <col min="8959" max="8959" width="5.85546875" style="17" customWidth="1"/>
    <col min="8960" max="8960" width="4.7109375" style="17" bestFit="1" customWidth="1"/>
    <col min="8961" max="8961" width="8.140625" style="17" customWidth="1"/>
    <col min="8962" max="8972" width="11.42578125" style="17"/>
    <col min="8973" max="8973" width="2" style="17" bestFit="1" customWidth="1"/>
    <col min="8974" max="9212" width="11.42578125" style="17"/>
    <col min="9213" max="9213" width="7.42578125" style="17" bestFit="1" customWidth="1"/>
    <col min="9214" max="9214" width="7.85546875" style="17" customWidth="1"/>
    <col min="9215" max="9215" width="5.85546875" style="17" customWidth="1"/>
    <col min="9216" max="9216" width="4.7109375" style="17" bestFit="1" customWidth="1"/>
    <col min="9217" max="9217" width="8.140625" style="17" customWidth="1"/>
    <col min="9218" max="9228" width="11.42578125" style="17"/>
    <col min="9229" max="9229" width="2" style="17" bestFit="1" customWidth="1"/>
    <col min="9230" max="9468" width="11.42578125" style="17"/>
    <col min="9469" max="9469" width="7.42578125" style="17" bestFit="1" customWidth="1"/>
    <col min="9470" max="9470" width="7.85546875" style="17" customWidth="1"/>
    <col min="9471" max="9471" width="5.85546875" style="17" customWidth="1"/>
    <col min="9472" max="9472" width="4.7109375" style="17" bestFit="1" customWidth="1"/>
    <col min="9473" max="9473" width="8.140625" style="17" customWidth="1"/>
    <col min="9474" max="9484" width="11.42578125" style="17"/>
    <col min="9485" max="9485" width="2" style="17" bestFit="1" customWidth="1"/>
    <col min="9486" max="9724" width="11.42578125" style="17"/>
    <col min="9725" max="9725" width="7.42578125" style="17" bestFit="1" customWidth="1"/>
    <col min="9726" max="9726" width="7.85546875" style="17" customWidth="1"/>
    <col min="9727" max="9727" width="5.85546875" style="17" customWidth="1"/>
    <col min="9728" max="9728" width="4.7109375" style="17" bestFit="1" customWidth="1"/>
    <col min="9729" max="9729" width="8.140625" style="17" customWidth="1"/>
    <col min="9730" max="9740" width="11.42578125" style="17"/>
    <col min="9741" max="9741" width="2" style="17" bestFit="1" customWidth="1"/>
    <col min="9742" max="9980" width="11.42578125" style="17"/>
    <col min="9981" max="9981" width="7.42578125" style="17" bestFit="1" customWidth="1"/>
    <col min="9982" max="9982" width="7.85546875" style="17" customWidth="1"/>
    <col min="9983" max="9983" width="5.85546875" style="17" customWidth="1"/>
    <col min="9984" max="9984" width="4.7109375" style="17" bestFit="1" customWidth="1"/>
    <col min="9985" max="9985" width="8.140625" style="17" customWidth="1"/>
    <col min="9986" max="9996" width="11.42578125" style="17"/>
    <col min="9997" max="9997" width="2" style="17" bestFit="1" customWidth="1"/>
    <col min="9998" max="10236" width="11.42578125" style="17"/>
    <col min="10237" max="10237" width="7.42578125" style="17" bestFit="1" customWidth="1"/>
    <col min="10238" max="10238" width="7.85546875" style="17" customWidth="1"/>
    <col min="10239" max="10239" width="5.85546875" style="17" customWidth="1"/>
    <col min="10240" max="10240" width="4.7109375" style="17" bestFit="1" customWidth="1"/>
    <col min="10241" max="10241" width="8.140625" style="17" customWidth="1"/>
    <col min="10242" max="10252" width="11.42578125" style="17"/>
    <col min="10253" max="10253" width="2" style="17" bestFit="1" customWidth="1"/>
    <col min="10254" max="10492" width="11.42578125" style="17"/>
    <col min="10493" max="10493" width="7.42578125" style="17" bestFit="1" customWidth="1"/>
    <col min="10494" max="10494" width="7.85546875" style="17" customWidth="1"/>
    <col min="10495" max="10495" width="5.85546875" style="17" customWidth="1"/>
    <col min="10496" max="10496" width="4.7109375" style="17" bestFit="1" customWidth="1"/>
    <col min="10497" max="10497" width="8.140625" style="17" customWidth="1"/>
    <col min="10498" max="10508" width="11.42578125" style="17"/>
    <col min="10509" max="10509" width="2" style="17" bestFit="1" customWidth="1"/>
    <col min="10510" max="10748" width="11.42578125" style="17"/>
    <col min="10749" max="10749" width="7.42578125" style="17" bestFit="1" customWidth="1"/>
    <col min="10750" max="10750" width="7.85546875" style="17" customWidth="1"/>
    <col min="10751" max="10751" width="5.85546875" style="17" customWidth="1"/>
    <col min="10752" max="10752" width="4.7109375" style="17" bestFit="1" customWidth="1"/>
    <col min="10753" max="10753" width="8.140625" style="17" customWidth="1"/>
    <col min="10754" max="10764" width="11.42578125" style="17"/>
    <col min="10765" max="10765" width="2" style="17" bestFit="1" customWidth="1"/>
    <col min="10766" max="11004" width="11.42578125" style="17"/>
    <col min="11005" max="11005" width="7.42578125" style="17" bestFit="1" customWidth="1"/>
    <col min="11006" max="11006" width="7.85546875" style="17" customWidth="1"/>
    <col min="11007" max="11007" width="5.85546875" style="17" customWidth="1"/>
    <col min="11008" max="11008" width="4.7109375" style="17" bestFit="1" customWidth="1"/>
    <col min="11009" max="11009" width="8.140625" style="17" customWidth="1"/>
    <col min="11010" max="11020" width="11.42578125" style="17"/>
    <col min="11021" max="11021" width="2" style="17" bestFit="1" customWidth="1"/>
    <col min="11022" max="11260" width="11.42578125" style="17"/>
    <col min="11261" max="11261" width="7.42578125" style="17" bestFit="1" customWidth="1"/>
    <col min="11262" max="11262" width="7.85546875" style="17" customWidth="1"/>
    <col min="11263" max="11263" width="5.85546875" style="17" customWidth="1"/>
    <col min="11264" max="11264" width="4.7109375" style="17" bestFit="1" customWidth="1"/>
    <col min="11265" max="11265" width="8.140625" style="17" customWidth="1"/>
    <col min="11266" max="11276" width="11.42578125" style="17"/>
    <col min="11277" max="11277" width="2" style="17" bestFit="1" customWidth="1"/>
    <col min="11278" max="11516" width="11.42578125" style="17"/>
    <col min="11517" max="11517" width="7.42578125" style="17" bestFit="1" customWidth="1"/>
    <col min="11518" max="11518" width="7.85546875" style="17" customWidth="1"/>
    <col min="11519" max="11519" width="5.85546875" style="17" customWidth="1"/>
    <col min="11520" max="11520" width="4.7109375" style="17" bestFit="1" customWidth="1"/>
    <col min="11521" max="11521" width="8.140625" style="17" customWidth="1"/>
    <col min="11522" max="11532" width="11.42578125" style="17"/>
    <col min="11533" max="11533" width="2" style="17" bestFit="1" customWidth="1"/>
    <col min="11534" max="11772" width="11.42578125" style="17"/>
    <col min="11773" max="11773" width="7.42578125" style="17" bestFit="1" customWidth="1"/>
    <col min="11774" max="11774" width="7.85546875" style="17" customWidth="1"/>
    <col min="11775" max="11775" width="5.85546875" style="17" customWidth="1"/>
    <col min="11776" max="11776" width="4.7109375" style="17" bestFit="1" customWidth="1"/>
    <col min="11777" max="11777" width="8.140625" style="17" customWidth="1"/>
    <col min="11778" max="11788" width="11.42578125" style="17"/>
    <col min="11789" max="11789" width="2" style="17" bestFit="1" customWidth="1"/>
    <col min="11790" max="12028" width="11.42578125" style="17"/>
    <col min="12029" max="12029" width="7.42578125" style="17" bestFit="1" customWidth="1"/>
    <col min="12030" max="12030" width="7.85546875" style="17" customWidth="1"/>
    <col min="12031" max="12031" width="5.85546875" style="17" customWidth="1"/>
    <col min="12032" max="12032" width="4.7109375" style="17" bestFit="1" customWidth="1"/>
    <col min="12033" max="12033" width="8.140625" style="17" customWidth="1"/>
    <col min="12034" max="12044" width="11.42578125" style="17"/>
    <col min="12045" max="12045" width="2" style="17" bestFit="1" customWidth="1"/>
    <col min="12046" max="12284" width="11.42578125" style="17"/>
    <col min="12285" max="12285" width="7.42578125" style="17" bestFit="1" customWidth="1"/>
    <col min="12286" max="12286" width="7.85546875" style="17" customWidth="1"/>
    <col min="12287" max="12287" width="5.85546875" style="17" customWidth="1"/>
    <col min="12288" max="12288" width="4.7109375" style="17" bestFit="1" customWidth="1"/>
    <col min="12289" max="12289" width="8.140625" style="17" customWidth="1"/>
    <col min="12290" max="12300" width="11.42578125" style="17"/>
    <col min="12301" max="12301" width="2" style="17" bestFit="1" customWidth="1"/>
    <col min="12302" max="12540" width="11.42578125" style="17"/>
    <col min="12541" max="12541" width="7.42578125" style="17" bestFit="1" customWidth="1"/>
    <col min="12542" max="12542" width="7.85546875" style="17" customWidth="1"/>
    <col min="12543" max="12543" width="5.85546875" style="17" customWidth="1"/>
    <col min="12544" max="12544" width="4.7109375" style="17" bestFit="1" customWidth="1"/>
    <col min="12545" max="12545" width="8.140625" style="17" customWidth="1"/>
    <col min="12546" max="12556" width="11.42578125" style="17"/>
    <col min="12557" max="12557" width="2" style="17" bestFit="1" customWidth="1"/>
    <col min="12558" max="12796" width="11.42578125" style="17"/>
    <col min="12797" max="12797" width="7.42578125" style="17" bestFit="1" customWidth="1"/>
    <col min="12798" max="12798" width="7.85546875" style="17" customWidth="1"/>
    <col min="12799" max="12799" width="5.85546875" style="17" customWidth="1"/>
    <col min="12800" max="12800" width="4.7109375" style="17" bestFit="1" customWidth="1"/>
    <col min="12801" max="12801" width="8.140625" style="17" customWidth="1"/>
    <col min="12802" max="12812" width="11.42578125" style="17"/>
    <col min="12813" max="12813" width="2" style="17" bestFit="1" customWidth="1"/>
    <col min="12814" max="13052" width="11.42578125" style="17"/>
    <col min="13053" max="13053" width="7.42578125" style="17" bestFit="1" customWidth="1"/>
    <col min="13054" max="13054" width="7.85546875" style="17" customWidth="1"/>
    <col min="13055" max="13055" width="5.85546875" style="17" customWidth="1"/>
    <col min="13056" max="13056" width="4.7109375" style="17" bestFit="1" customWidth="1"/>
    <col min="13057" max="13057" width="8.140625" style="17" customWidth="1"/>
    <col min="13058" max="13068" width="11.42578125" style="17"/>
    <col min="13069" max="13069" width="2" style="17" bestFit="1" customWidth="1"/>
    <col min="13070" max="13308" width="11.42578125" style="17"/>
    <col min="13309" max="13309" width="7.42578125" style="17" bestFit="1" customWidth="1"/>
    <col min="13310" max="13310" width="7.85546875" style="17" customWidth="1"/>
    <col min="13311" max="13311" width="5.85546875" style="17" customWidth="1"/>
    <col min="13312" max="13312" width="4.7109375" style="17" bestFit="1" customWidth="1"/>
    <col min="13313" max="13313" width="8.140625" style="17" customWidth="1"/>
    <col min="13314" max="13324" width="11.42578125" style="17"/>
    <col min="13325" max="13325" width="2" style="17" bestFit="1" customWidth="1"/>
    <col min="13326" max="13564" width="11.42578125" style="17"/>
    <col min="13565" max="13565" width="7.42578125" style="17" bestFit="1" customWidth="1"/>
    <col min="13566" max="13566" width="7.85546875" style="17" customWidth="1"/>
    <col min="13567" max="13567" width="5.85546875" style="17" customWidth="1"/>
    <col min="13568" max="13568" width="4.7109375" style="17" bestFit="1" customWidth="1"/>
    <col min="13569" max="13569" width="8.140625" style="17" customWidth="1"/>
    <col min="13570" max="13580" width="11.42578125" style="17"/>
    <col min="13581" max="13581" width="2" style="17" bestFit="1" customWidth="1"/>
    <col min="13582" max="13820" width="11.42578125" style="17"/>
    <col min="13821" max="13821" width="7.42578125" style="17" bestFit="1" customWidth="1"/>
    <col min="13822" max="13822" width="7.85546875" style="17" customWidth="1"/>
    <col min="13823" max="13823" width="5.85546875" style="17" customWidth="1"/>
    <col min="13824" max="13824" width="4.7109375" style="17" bestFit="1" customWidth="1"/>
    <col min="13825" max="13825" width="8.140625" style="17" customWidth="1"/>
    <col min="13826" max="13836" width="11.42578125" style="17"/>
    <col min="13837" max="13837" width="2" style="17" bestFit="1" customWidth="1"/>
    <col min="13838" max="14076" width="11.42578125" style="17"/>
    <col min="14077" max="14077" width="7.42578125" style="17" bestFit="1" customWidth="1"/>
    <col min="14078" max="14078" width="7.85546875" style="17" customWidth="1"/>
    <col min="14079" max="14079" width="5.85546875" style="17" customWidth="1"/>
    <col min="14080" max="14080" width="4.7109375" style="17" bestFit="1" customWidth="1"/>
    <col min="14081" max="14081" width="8.140625" style="17" customWidth="1"/>
    <col min="14082" max="14092" width="11.42578125" style="17"/>
    <col min="14093" max="14093" width="2" style="17" bestFit="1" customWidth="1"/>
    <col min="14094" max="14332" width="11.42578125" style="17"/>
    <col min="14333" max="14333" width="7.42578125" style="17" bestFit="1" customWidth="1"/>
    <col min="14334" max="14334" width="7.85546875" style="17" customWidth="1"/>
    <col min="14335" max="14335" width="5.85546875" style="17" customWidth="1"/>
    <col min="14336" max="14336" width="4.7109375" style="17" bestFit="1" customWidth="1"/>
    <col min="14337" max="14337" width="8.140625" style="17" customWidth="1"/>
    <col min="14338" max="14348" width="11.42578125" style="17"/>
    <col min="14349" max="14349" width="2" style="17" bestFit="1" customWidth="1"/>
    <col min="14350" max="14588" width="11.42578125" style="17"/>
    <col min="14589" max="14589" width="7.42578125" style="17" bestFit="1" customWidth="1"/>
    <col min="14590" max="14590" width="7.85546875" style="17" customWidth="1"/>
    <col min="14591" max="14591" width="5.85546875" style="17" customWidth="1"/>
    <col min="14592" max="14592" width="4.7109375" style="17" bestFit="1" customWidth="1"/>
    <col min="14593" max="14593" width="8.140625" style="17" customWidth="1"/>
    <col min="14594" max="14604" width="11.42578125" style="17"/>
    <col min="14605" max="14605" width="2" style="17" bestFit="1" customWidth="1"/>
    <col min="14606" max="14844" width="11.42578125" style="17"/>
    <col min="14845" max="14845" width="7.42578125" style="17" bestFit="1" customWidth="1"/>
    <col min="14846" max="14846" width="7.85546875" style="17" customWidth="1"/>
    <col min="14847" max="14847" width="5.85546875" style="17" customWidth="1"/>
    <col min="14848" max="14848" width="4.7109375" style="17" bestFit="1" customWidth="1"/>
    <col min="14849" max="14849" width="8.140625" style="17" customWidth="1"/>
    <col min="14850" max="14860" width="11.42578125" style="17"/>
    <col min="14861" max="14861" width="2" style="17" bestFit="1" customWidth="1"/>
    <col min="14862" max="15100" width="11.42578125" style="17"/>
    <col min="15101" max="15101" width="7.42578125" style="17" bestFit="1" customWidth="1"/>
    <col min="15102" max="15102" width="7.85546875" style="17" customWidth="1"/>
    <col min="15103" max="15103" width="5.85546875" style="17" customWidth="1"/>
    <col min="15104" max="15104" width="4.7109375" style="17" bestFit="1" customWidth="1"/>
    <col min="15105" max="15105" width="8.140625" style="17" customWidth="1"/>
    <col min="15106" max="15116" width="11.42578125" style="17"/>
    <col min="15117" max="15117" width="2" style="17" bestFit="1" customWidth="1"/>
    <col min="15118" max="15356" width="11.42578125" style="17"/>
    <col min="15357" max="15357" width="7.42578125" style="17" bestFit="1" customWidth="1"/>
    <col min="15358" max="15358" width="7.85546875" style="17" customWidth="1"/>
    <col min="15359" max="15359" width="5.85546875" style="17" customWidth="1"/>
    <col min="15360" max="15360" width="4.7109375" style="17" bestFit="1" customWidth="1"/>
    <col min="15361" max="15361" width="8.140625" style="17" customWidth="1"/>
    <col min="15362" max="15372" width="11.42578125" style="17"/>
    <col min="15373" max="15373" width="2" style="17" bestFit="1" customWidth="1"/>
    <col min="15374" max="15612" width="11.42578125" style="17"/>
    <col min="15613" max="15613" width="7.42578125" style="17" bestFit="1" customWidth="1"/>
    <col min="15614" max="15614" width="7.85546875" style="17" customWidth="1"/>
    <col min="15615" max="15615" width="5.85546875" style="17" customWidth="1"/>
    <col min="15616" max="15616" width="4.7109375" style="17" bestFit="1" customWidth="1"/>
    <col min="15617" max="15617" width="8.140625" style="17" customWidth="1"/>
    <col min="15618" max="15628" width="11.42578125" style="17"/>
    <col min="15629" max="15629" width="2" style="17" bestFit="1" customWidth="1"/>
    <col min="15630" max="15868" width="11.42578125" style="17"/>
    <col min="15869" max="15869" width="7.42578125" style="17" bestFit="1" customWidth="1"/>
    <col min="15870" max="15870" width="7.85546875" style="17" customWidth="1"/>
    <col min="15871" max="15871" width="5.85546875" style="17" customWidth="1"/>
    <col min="15872" max="15872" width="4.7109375" style="17" bestFit="1" customWidth="1"/>
    <col min="15873" max="15873" width="8.140625" style="17" customWidth="1"/>
    <col min="15874" max="15884" width="11.42578125" style="17"/>
    <col min="15885" max="15885" width="2" style="17" bestFit="1" customWidth="1"/>
    <col min="15886" max="16124" width="11.42578125" style="17"/>
    <col min="16125" max="16125" width="7.42578125" style="17" bestFit="1" customWidth="1"/>
    <col min="16126" max="16126" width="7.85546875" style="17" customWidth="1"/>
    <col min="16127" max="16127" width="5.85546875" style="17" customWidth="1"/>
    <col min="16128" max="16128" width="4.7109375" style="17" bestFit="1" customWidth="1"/>
    <col min="16129" max="16129" width="8.140625" style="17" customWidth="1"/>
    <col min="16130" max="16140" width="11.42578125" style="17"/>
    <col min="16141" max="16141" width="2" style="17" bestFit="1" customWidth="1"/>
    <col min="16142" max="16384" width="11.42578125" style="17"/>
  </cols>
  <sheetData>
    <row r="1" spans="1:14" ht="45.75" customHeight="1" thickBot="1" x14ac:dyDescent="0.35">
      <c r="A1" s="250"/>
      <c r="B1" s="251"/>
      <c r="C1" s="252"/>
      <c r="D1" s="156" t="s">
        <v>276</v>
      </c>
      <c r="E1" s="157"/>
      <c r="F1" s="157"/>
      <c r="G1" s="157"/>
      <c r="H1" s="157"/>
      <c r="I1" s="158"/>
      <c r="K1" s="62" t="s">
        <v>22</v>
      </c>
      <c r="L1" s="63" t="s">
        <v>23</v>
      </c>
    </row>
    <row r="2" spans="1:14" ht="15" thickBot="1" x14ac:dyDescent="0.25">
      <c r="A2" s="159"/>
      <c r="B2" s="69"/>
      <c r="C2" s="69"/>
      <c r="D2" s="69"/>
      <c r="E2" s="69"/>
      <c r="F2" s="160" t="s">
        <v>191</v>
      </c>
      <c r="G2" s="66"/>
      <c r="H2" s="66"/>
      <c r="I2" s="161" t="s">
        <v>280</v>
      </c>
      <c r="K2" s="21" t="s">
        <v>25</v>
      </c>
      <c r="L2" s="22">
        <v>1.5</v>
      </c>
      <c r="M2" s="17" t="s">
        <v>26</v>
      </c>
    </row>
    <row r="3" spans="1:14" x14ac:dyDescent="0.2">
      <c r="A3" s="68" t="s">
        <v>192</v>
      </c>
      <c r="B3" s="69"/>
      <c r="C3" s="69"/>
      <c r="D3" s="70"/>
      <c r="E3" s="64"/>
      <c r="F3" s="64"/>
      <c r="G3" s="64"/>
      <c r="H3" s="64"/>
      <c r="I3" s="162"/>
      <c r="K3" s="21" t="s">
        <v>27</v>
      </c>
      <c r="L3" s="22">
        <v>1.25</v>
      </c>
      <c r="M3" s="17" t="s">
        <v>28</v>
      </c>
    </row>
    <row r="4" spans="1:14" ht="15" thickBot="1" x14ac:dyDescent="0.25">
      <c r="A4" s="71" t="s">
        <v>22</v>
      </c>
      <c r="B4" s="72"/>
      <c r="C4" s="72"/>
      <c r="D4" s="73" t="str">
        <f>INICIO!$C$29</f>
        <v>I</v>
      </c>
      <c r="E4" s="64" t="str">
        <f>VLOOKUP($D$4,$K$2:$M$5,3,FALSE)</f>
        <v>Estructuras de ocupación normal</v>
      </c>
      <c r="F4" s="64"/>
      <c r="G4" s="64"/>
      <c r="H4" s="64"/>
      <c r="I4" s="162"/>
      <c r="K4" s="21" t="s">
        <v>31</v>
      </c>
      <c r="L4" s="22">
        <v>1.1000000000000001</v>
      </c>
      <c r="M4" s="17" t="s">
        <v>32</v>
      </c>
    </row>
    <row r="5" spans="1:14" ht="15" thickBot="1" x14ac:dyDescent="0.25">
      <c r="A5" s="253" t="s">
        <v>281</v>
      </c>
      <c r="B5" s="164"/>
      <c r="C5" s="165"/>
      <c r="D5" s="165"/>
      <c r="E5" s="165"/>
      <c r="F5" s="165"/>
      <c r="G5" s="165"/>
      <c r="H5" s="165"/>
      <c r="I5" s="166"/>
      <c r="K5" s="24" t="s">
        <v>30</v>
      </c>
      <c r="L5" s="25">
        <v>1</v>
      </c>
      <c r="M5" s="17" t="s">
        <v>33</v>
      </c>
    </row>
    <row r="6" spans="1:14" s="167" customFormat="1" ht="15" thickBot="1" x14ac:dyDescent="0.25">
      <c r="A6" s="54" t="s">
        <v>160</v>
      </c>
      <c r="B6" s="55" t="s">
        <v>179</v>
      </c>
      <c r="C6" s="64"/>
      <c r="D6" s="64"/>
      <c r="E6" s="64"/>
      <c r="F6" s="64"/>
      <c r="G6" s="64"/>
      <c r="H6" s="64"/>
      <c r="I6" s="162"/>
      <c r="J6" s="17"/>
      <c r="K6" s="168"/>
      <c r="L6" s="169"/>
      <c r="M6" s="169"/>
      <c r="N6" s="169"/>
    </row>
    <row r="7" spans="1:14" ht="16.5" thickBot="1" x14ac:dyDescent="0.3">
      <c r="A7" s="171"/>
      <c r="B7" s="64"/>
      <c r="C7" s="64"/>
      <c r="D7" s="64"/>
      <c r="E7" s="64"/>
      <c r="F7" s="64"/>
      <c r="G7" s="64"/>
      <c r="H7" s="64"/>
      <c r="I7" s="162"/>
      <c r="K7" s="172" t="s">
        <v>236</v>
      </c>
      <c r="L7" s="172"/>
      <c r="M7" s="172"/>
      <c r="N7" s="172"/>
    </row>
    <row r="8" spans="1:14" ht="15" thickBot="1" x14ac:dyDescent="0.25">
      <c r="A8" s="173" t="s">
        <v>282</v>
      </c>
      <c r="B8" s="76">
        <f>HLOOKUP($B$6,$K$8:$N$15,5,FALSE)</f>
        <v>0.44</v>
      </c>
      <c r="C8" s="64"/>
      <c r="D8" s="173" t="s">
        <v>197</v>
      </c>
      <c r="E8" s="76">
        <f>HLOOKUP($B$6,$K$8:$N$15,2,FALSE)</f>
        <v>0.1</v>
      </c>
      <c r="F8" s="64"/>
      <c r="G8" s="64"/>
      <c r="H8" s="64"/>
      <c r="I8" s="162"/>
      <c r="K8" s="174"/>
      <c r="L8" s="175" t="s">
        <v>179</v>
      </c>
      <c r="M8" s="175" t="s">
        <v>60</v>
      </c>
      <c r="N8" s="175" t="s">
        <v>63</v>
      </c>
    </row>
    <row r="9" spans="1:14" x14ac:dyDescent="0.2">
      <c r="A9" s="176" t="s">
        <v>283</v>
      </c>
      <c r="B9" s="80">
        <f>HLOOKUP($B$6,$K$8:$N$15,6,FALSE)</f>
        <v>0.44</v>
      </c>
      <c r="C9" s="64"/>
      <c r="D9" s="176" t="s">
        <v>201</v>
      </c>
      <c r="E9" s="80">
        <f>HLOOKUP($B$6,$K$8:$N$15,3,FALSE)</f>
        <v>0.65</v>
      </c>
      <c r="F9" s="64"/>
      <c r="G9" s="64"/>
      <c r="H9" s="64"/>
      <c r="I9" s="162"/>
      <c r="K9" s="177" t="s">
        <v>237</v>
      </c>
      <c r="L9" s="178">
        <v>0.1</v>
      </c>
      <c r="M9" s="179">
        <v>0.1</v>
      </c>
      <c r="N9" s="179">
        <v>0.1</v>
      </c>
    </row>
    <row r="10" spans="1:14" ht="15" thickBot="1" x14ac:dyDescent="0.25">
      <c r="A10" s="176" t="s">
        <v>196</v>
      </c>
      <c r="B10" s="80">
        <f>HLOOKUP($B$6,$K$8:$N$15,7,FALSE)</f>
        <v>1</v>
      </c>
      <c r="C10" s="64"/>
      <c r="D10" s="181" t="s">
        <v>203</v>
      </c>
      <c r="E10" s="107">
        <f>HLOOKUP($B$6,$K$8:$N$15,4,FALSE)</f>
        <v>3.25</v>
      </c>
      <c r="F10" s="64"/>
      <c r="G10" s="64"/>
      <c r="H10" s="64"/>
      <c r="I10" s="162"/>
      <c r="K10" s="182" t="s">
        <v>238</v>
      </c>
      <c r="L10" s="183">
        <v>0.65</v>
      </c>
      <c r="M10" s="184">
        <v>0.5</v>
      </c>
      <c r="N10" s="184">
        <v>0.5</v>
      </c>
    </row>
    <row r="11" spans="1:14" ht="15" thickBot="1" x14ac:dyDescent="0.25">
      <c r="A11" s="181" t="s">
        <v>200</v>
      </c>
      <c r="B11" s="107">
        <f>HLOOKUP($B$6,$K$8:$N$15,8,FALSE)</f>
        <v>1.63</v>
      </c>
      <c r="C11" s="64"/>
      <c r="D11" s="108" t="s">
        <v>202</v>
      </c>
      <c r="E11" s="107">
        <f>VLOOKUP($D$4,$K$2:$L$5,2,FALSE)</f>
        <v>1</v>
      </c>
      <c r="F11" s="64"/>
      <c r="G11" s="64"/>
      <c r="H11" s="64"/>
      <c r="I11" s="162"/>
      <c r="K11" s="182" t="s">
        <v>239</v>
      </c>
      <c r="L11" s="183">
        <v>3.25</v>
      </c>
      <c r="M11" s="184">
        <v>2.5</v>
      </c>
      <c r="N11" s="184">
        <v>2.5</v>
      </c>
    </row>
    <row r="12" spans="1:14" ht="15" thickBot="1" x14ac:dyDescent="0.25">
      <c r="A12" s="171"/>
      <c r="B12" s="64"/>
      <c r="C12" s="64"/>
      <c r="D12" s="64"/>
      <c r="E12" s="64"/>
      <c r="F12" s="64"/>
      <c r="G12" s="64"/>
      <c r="H12" s="64"/>
      <c r="I12" s="162"/>
      <c r="K12" s="182" t="s">
        <v>245</v>
      </c>
      <c r="L12" s="183">
        <v>0.44</v>
      </c>
      <c r="M12" s="184">
        <v>0.4</v>
      </c>
      <c r="N12" s="184">
        <v>0.3</v>
      </c>
    </row>
    <row r="13" spans="1:14" ht="15" thickBot="1" x14ac:dyDescent="0.25">
      <c r="A13" s="117" t="s">
        <v>204</v>
      </c>
      <c r="B13" s="118" t="s">
        <v>205</v>
      </c>
      <c r="C13" s="64"/>
      <c r="D13" s="64"/>
      <c r="E13" s="64"/>
      <c r="F13" s="64"/>
      <c r="G13" s="64"/>
      <c r="H13" s="64"/>
      <c r="I13" s="162"/>
      <c r="K13" s="182" t="s">
        <v>246</v>
      </c>
      <c r="L13" s="183">
        <v>0.44</v>
      </c>
      <c r="M13" s="184">
        <v>0.4</v>
      </c>
      <c r="N13" s="184">
        <v>0.3</v>
      </c>
    </row>
    <row r="14" spans="1:14" x14ac:dyDescent="0.2">
      <c r="A14" s="120">
        <v>0</v>
      </c>
      <c r="B14" s="186">
        <f t="shared" ref="B14:B49" si="0">IF(A14=0,AmMAN,IF(AND(A14&gt;=ToMAN,A14&lt;=TcMAN),2.5*AmMAN*FaMAN*$E$11,IF(AND(A14&gt;TcMAN,A14&lt;TlMAN),AnMAN*FvMAN/A14,AmMAN/2)))</f>
        <v>0.44</v>
      </c>
      <c r="C14" s="64"/>
      <c r="D14" s="64"/>
      <c r="E14" s="64"/>
      <c r="F14" s="64"/>
      <c r="G14" s="64"/>
      <c r="H14" s="64"/>
      <c r="I14" s="162"/>
      <c r="K14" s="182" t="s">
        <v>241</v>
      </c>
      <c r="L14" s="183">
        <v>1</v>
      </c>
      <c r="M14" s="184">
        <v>1</v>
      </c>
      <c r="N14" s="184">
        <v>1</v>
      </c>
    </row>
    <row r="15" spans="1:14" ht="15" thickBot="1" x14ac:dyDescent="0.25">
      <c r="A15" s="123">
        <f>IF(A14=0,$E$8,IF(A14=$E$8,$E$9,IF(A14=$E$9,TRUNC($E$9+0.1,1),A14+0.1)))</f>
        <v>0.1</v>
      </c>
      <c r="B15" s="191">
        <f t="shared" si="0"/>
        <v>1.1000000000000001</v>
      </c>
      <c r="C15" s="64"/>
      <c r="D15" s="64"/>
      <c r="E15" s="64"/>
      <c r="F15" s="64"/>
      <c r="G15" s="64"/>
      <c r="H15" s="64"/>
      <c r="I15" s="162"/>
      <c r="K15" s="187" t="s">
        <v>242</v>
      </c>
      <c r="L15" s="188">
        <v>1.63</v>
      </c>
      <c r="M15" s="189">
        <v>1.25</v>
      </c>
      <c r="N15" s="189">
        <v>1.25</v>
      </c>
    </row>
    <row r="16" spans="1:14" ht="15" thickBot="1" x14ac:dyDescent="0.25">
      <c r="A16" s="123">
        <f t="shared" ref="A16:A49" si="1">IF(A15=0,$E$8,IF(A15=$E$8,$E$9,IF(A15=$E$9,TRUNC($E$9+0.1,1),A15+0.1)))</f>
        <v>0.65</v>
      </c>
      <c r="B16" s="191">
        <f t="shared" si="0"/>
        <v>1.1000000000000001</v>
      </c>
      <c r="C16" s="64"/>
      <c r="D16" s="64"/>
      <c r="E16" s="64"/>
      <c r="F16" s="64"/>
      <c r="G16" s="64"/>
      <c r="H16" s="64"/>
      <c r="I16" s="162"/>
    </row>
    <row r="17" spans="1:14" ht="15" thickBot="1" x14ac:dyDescent="0.25">
      <c r="A17" s="123">
        <f t="shared" si="1"/>
        <v>0.7</v>
      </c>
      <c r="B17" s="191">
        <f t="shared" si="0"/>
        <v>1.0245714285714285</v>
      </c>
      <c r="C17" s="64"/>
      <c r="D17" s="64"/>
      <c r="E17" s="64"/>
      <c r="F17" s="64"/>
      <c r="G17" s="64"/>
      <c r="H17" s="64"/>
      <c r="I17" s="162"/>
      <c r="K17" s="131" t="str">
        <f>"Espec. Manizales, Zona "&amp;$B$6</f>
        <v>Espec. Manizales, Zona A</v>
      </c>
      <c r="L17" s="132"/>
      <c r="M17" s="133"/>
      <c r="N17" s="133"/>
    </row>
    <row r="18" spans="1:14" x14ac:dyDescent="0.2">
      <c r="A18" s="123">
        <f t="shared" si="1"/>
        <v>0.79999999999999993</v>
      </c>
      <c r="B18" s="191">
        <f t="shared" si="0"/>
        <v>0.89649999999999996</v>
      </c>
      <c r="C18" s="64"/>
      <c r="D18" s="64"/>
      <c r="E18" s="64"/>
      <c r="F18" s="64"/>
      <c r="G18" s="64"/>
      <c r="H18" s="64"/>
      <c r="I18" s="162"/>
    </row>
    <row r="19" spans="1:14" x14ac:dyDescent="0.2">
      <c r="A19" s="123">
        <f t="shared" si="1"/>
        <v>0.89999999999999991</v>
      </c>
      <c r="B19" s="191">
        <f t="shared" si="0"/>
        <v>0.79688888888888887</v>
      </c>
      <c r="C19" s="64"/>
      <c r="D19" s="64"/>
      <c r="E19" s="64"/>
      <c r="F19" s="64"/>
      <c r="G19" s="64"/>
      <c r="H19" s="64"/>
      <c r="I19" s="162"/>
    </row>
    <row r="20" spans="1:14" x14ac:dyDescent="0.2">
      <c r="A20" s="123">
        <f t="shared" si="1"/>
        <v>0.99999999999999989</v>
      </c>
      <c r="B20" s="191">
        <f t="shared" si="0"/>
        <v>0.71720000000000006</v>
      </c>
      <c r="C20" s="64"/>
      <c r="D20" s="64"/>
      <c r="E20" s="64"/>
      <c r="F20" s="64"/>
      <c r="G20" s="64"/>
      <c r="H20" s="64"/>
      <c r="I20" s="162"/>
    </row>
    <row r="21" spans="1:14" x14ac:dyDescent="0.2">
      <c r="A21" s="123">
        <f t="shared" si="1"/>
        <v>1.0999999999999999</v>
      </c>
      <c r="B21" s="191">
        <f t="shared" si="0"/>
        <v>0.65200000000000002</v>
      </c>
      <c r="C21" s="64"/>
      <c r="D21" s="64"/>
      <c r="E21" s="64"/>
      <c r="F21" s="64"/>
      <c r="G21" s="64"/>
      <c r="H21" s="64"/>
      <c r="I21" s="162"/>
    </row>
    <row r="22" spans="1:14" x14ac:dyDescent="0.2">
      <c r="A22" s="123">
        <f t="shared" si="1"/>
        <v>1.2</v>
      </c>
      <c r="B22" s="191">
        <f t="shared" si="0"/>
        <v>0.59766666666666668</v>
      </c>
      <c r="C22" s="64"/>
      <c r="D22" s="64"/>
      <c r="E22" s="64"/>
      <c r="F22" s="64"/>
      <c r="G22" s="64"/>
      <c r="H22" s="64"/>
      <c r="I22" s="162"/>
    </row>
    <row r="23" spans="1:14" x14ac:dyDescent="0.2">
      <c r="A23" s="123">
        <f t="shared" si="1"/>
        <v>1.3</v>
      </c>
      <c r="B23" s="191">
        <f t="shared" si="0"/>
        <v>0.55169230769230759</v>
      </c>
      <c r="C23" s="64"/>
      <c r="D23" s="64"/>
      <c r="E23" s="64"/>
      <c r="F23" s="64"/>
      <c r="G23" s="64"/>
      <c r="H23" s="64"/>
      <c r="I23" s="162"/>
    </row>
    <row r="24" spans="1:14" x14ac:dyDescent="0.2">
      <c r="A24" s="123">
        <f t="shared" si="1"/>
        <v>1.4000000000000001</v>
      </c>
      <c r="B24" s="191">
        <f t="shared" si="0"/>
        <v>0.51228571428571423</v>
      </c>
      <c r="C24" s="64"/>
      <c r="D24" s="64"/>
      <c r="E24" s="64"/>
      <c r="F24" s="64"/>
      <c r="G24" s="64"/>
      <c r="H24" s="64"/>
      <c r="I24" s="162"/>
    </row>
    <row r="25" spans="1:14" x14ac:dyDescent="0.2">
      <c r="A25" s="123">
        <f t="shared" si="1"/>
        <v>1.5000000000000002</v>
      </c>
      <c r="B25" s="191">
        <f t="shared" si="0"/>
        <v>0.47813333333333324</v>
      </c>
      <c r="C25" s="64"/>
      <c r="D25" s="64"/>
      <c r="E25" s="64"/>
      <c r="F25" s="64"/>
      <c r="G25" s="64"/>
      <c r="H25" s="64"/>
      <c r="I25" s="162"/>
    </row>
    <row r="26" spans="1:14" x14ac:dyDescent="0.2">
      <c r="A26" s="123">
        <f t="shared" si="1"/>
        <v>1.6000000000000003</v>
      </c>
      <c r="B26" s="191">
        <f t="shared" si="0"/>
        <v>0.44824999999999987</v>
      </c>
      <c r="C26" s="64"/>
      <c r="D26" s="64"/>
      <c r="E26" s="64"/>
      <c r="F26" s="64"/>
      <c r="G26" s="64"/>
      <c r="H26" s="64"/>
      <c r="I26" s="162"/>
    </row>
    <row r="27" spans="1:14" x14ac:dyDescent="0.2">
      <c r="A27" s="123">
        <f t="shared" si="1"/>
        <v>1.7000000000000004</v>
      </c>
      <c r="B27" s="191">
        <f t="shared" si="0"/>
        <v>0.42188235294117632</v>
      </c>
      <c r="C27" s="64"/>
      <c r="D27" s="64"/>
      <c r="E27" s="64"/>
      <c r="F27" s="64"/>
      <c r="G27" s="64"/>
      <c r="H27" s="64"/>
      <c r="I27" s="162"/>
      <c r="K27" s="246"/>
      <c r="L27" s="246"/>
    </row>
    <row r="28" spans="1:14" x14ac:dyDescent="0.2">
      <c r="A28" s="123">
        <f t="shared" si="1"/>
        <v>1.8000000000000005</v>
      </c>
      <c r="B28" s="191">
        <f t="shared" si="0"/>
        <v>0.39844444444444432</v>
      </c>
      <c r="C28" s="64"/>
      <c r="D28" s="64"/>
      <c r="E28" s="64"/>
      <c r="F28" s="64"/>
      <c r="G28" s="64"/>
      <c r="H28" s="64"/>
      <c r="I28" s="162"/>
    </row>
    <row r="29" spans="1:14" x14ac:dyDescent="0.2">
      <c r="A29" s="123">
        <f t="shared" si="1"/>
        <v>1.9000000000000006</v>
      </c>
      <c r="B29" s="191">
        <f t="shared" si="0"/>
        <v>0.37747368421052618</v>
      </c>
      <c r="C29" s="64"/>
      <c r="D29" s="64"/>
      <c r="E29" s="64"/>
      <c r="F29" s="64"/>
      <c r="G29" s="64"/>
      <c r="H29" s="64"/>
      <c r="I29" s="162"/>
    </row>
    <row r="30" spans="1:14" x14ac:dyDescent="0.2">
      <c r="A30" s="123">
        <f t="shared" si="1"/>
        <v>2.0000000000000004</v>
      </c>
      <c r="B30" s="191">
        <f t="shared" si="0"/>
        <v>0.35859999999999992</v>
      </c>
      <c r="C30" s="64"/>
      <c r="D30" s="64"/>
      <c r="E30" s="64"/>
      <c r="F30" s="64"/>
      <c r="G30" s="64"/>
      <c r="H30" s="64"/>
      <c r="I30" s="162"/>
    </row>
    <row r="31" spans="1:14" x14ac:dyDescent="0.2">
      <c r="A31" s="123">
        <f t="shared" si="1"/>
        <v>2.1000000000000005</v>
      </c>
      <c r="B31" s="191">
        <f t="shared" si="0"/>
        <v>0.3415238095238094</v>
      </c>
      <c r="C31" s="64"/>
      <c r="D31" s="64"/>
      <c r="E31" s="64"/>
      <c r="F31" s="64"/>
      <c r="G31" s="64"/>
      <c r="H31" s="64"/>
      <c r="I31" s="162"/>
    </row>
    <row r="32" spans="1:14" x14ac:dyDescent="0.2">
      <c r="A32" s="123">
        <f t="shared" si="1"/>
        <v>2.2000000000000006</v>
      </c>
      <c r="B32" s="191">
        <f t="shared" si="0"/>
        <v>0.3259999999999999</v>
      </c>
      <c r="C32" s="64"/>
      <c r="D32" s="64"/>
      <c r="E32" s="64"/>
      <c r="F32" s="64"/>
      <c r="G32" s="64"/>
      <c r="H32" s="64"/>
      <c r="I32" s="162"/>
    </row>
    <row r="33" spans="1:12" x14ac:dyDescent="0.2">
      <c r="A33" s="123">
        <f t="shared" si="1"/>
        <v>2.3000000000000007</v>
      </c>
      <c r="B33" s="191">
        <f t="shared" si="0"/>
        <v>0.31182608695652164</v>
      </c>
      <c r="C33" s="64"/>
      <c r="D33" s="64"/>
      <c r="E33" s="64"/>
      <c r="F33" s="64"/>
      <c r="G33" s="64"/>
      <c r="H33" s="64"/>
      <c r="I33" s="162"/>
    </row>
    <row r="34" spans="1:12" ht="15" thickBot="1" x14ac:dyDescent="0.25">
      <c r="A34" s="123">
        <f t="shared" si="1"/>
        <v>2.4000000000000008</v>
      </c>
      <c r="B34" s="191">
        <f t="shared" si="0"/>
        <v>0.29883333333333323</v>
      </c>
      <c r="C34" s="64"/>
      <c r="D34" s="64"/>
      <c r="E34" s="64"/>
      <c r="F34" s="64"/>
      <c r="G34" s="64"/>
      <c r="H34" s="64"/>
      <c r="I34" s="162"/>
    </row>
    <row r="35" spans="1:12" x14ac:dyDescent="0.2">
      <c r="A35" s="123">
        <f t="shared" si="1"/>
        <v>2.5000000000000009</v>
      </c>
      <c r="B35" s="191">
        <f t="shared" si="0"/>
        <v>0.28687999999999986</v>
      </c>
      <c r="C35" s="64"/>
      <c r="D35" s="64"/>
      <c r="E35" s="64"/>
      <c r="F35" s="64"/>
      <c r="G35" s="64"/>
      <c r="H35" s="64"/>
      <c r="I35" s="162"/>
      <c r="K35" s="254" t="s">
        <v>279</v>
      </c>
      <c r="L35" s="255" t="s">
        <v>205</v>
      </c>
    </row>
    <row r="36" spans="1:12" x14ac:dyDescent="0.2">
      <c r="A36" s="123">
        <f t="shared" si="1"/>
        <v>2.600000000000001</v>
      </c>
      <c r="B36" s="191">
        <f t="shared" si="0"/>
        <v>0.27584615384615374</v>
      </c>
      <c r="C36" s="64"/>
      <c r="D36" s="64"/>
      <c r="E36" s="64"/>
      <c r="F36" s="64"/>
      <c r="G36" s="64"/>
      <c r="H36" s="64"/>
      <c r="I36" s="162"/>
      <c r="K36" s="256">
        <v>0.4</v>
      </c>
      <c r="L36" s="22">
        <f>IF(K36=0,$B$8*$B$10*$E$11*(1+1.5*K36/$E$8),IF(AND(K36&gt;=$E$8,K36&lt;=$E$9),2.5*$B$8*$B$10*$E$11,IF(AND(K36&gt;$E$9,K36&lt;$E$10),1.2*$B$8*$B$11*$E$11/K36,$B$8*$B$10*$E$11/2)))</f>
        <v>1.1000000000000001</v>
      </c>
    </row>
    <row r="37" spans="1:12" ht="15" thickBot="1" x14ac:dyDescent="0.25">
      <c r="A37" s="123">
        <f t="shared" si="1"/>
        <v>2.7000000000000011</v>
      </c>
      <c r="B37" s="191">
        <f t="shared" si="0"/>
        <v>0.26562962962962949</v>
      </c>
      <c r="C37" s="64"/>
      <c r="D37" s="64"/>
      <c r="E37" s="64"/>
      <c r="F37" s="64"/>
      <c r="G37" s="64"/>
      <c r="H37" s="64"/>
      <c r="I37" s="162"/>
      <c r="K37" s="256">
        <v>0.3019</v>
      </c>
      <c r="L37" s="25">
        <f>IF(K37=0,$B$8*$B$10*$E$11*(1+1.5*K37/$E$8),IF(AND(K37&gt;=$E$8,K37&lt;=$E$9),2.5*$B$8*$B$10*$E$11,IF(AND(K37&gt;$E$9,K37&lt;$E$10),1.2*$B$8*$B$11*$E$11/K37,$B$8*$B$10*$E$11/2)))</f>
        <v>1.1000000000000001</v>
      </c>
    </row>
    <row r="38" spans="1:12" x14ac:dyDescent="0.2">
      <c r="A38" s="123">
        <f t="shared" si="1"/>
        <v>2.8000000000000012</v>
      </c>
      <c r="B38" s="191">
        <f t="shared" si="0"/>
        <v>0.25614285714285701</v>
      </c>
      <c r="C38" s="64"/>
      <c r="D38" s="64"/>
      <c r="E38" s="64"/>
      <c r="F38" s="64"/>
      <c r="G38" s="64"/>
      <c r="H38" s="64"/>
      <c r="I38" s="162"/>
    </row>
    <row r="39" spans="1:12" x14ac:dyDescent="0.2">
      <c r="A39" s="123">
        <f t="shared" si="1"/>
        <v>2.9000000000000012</v>
      </c>
      <c r="B39" s="191">
        <f t="shared" si="0"/>
        <v>0.24731034482758607</v>
      </c>
      <c r="C39" s="64"/>
      <c r="D39" s="64"/>
      <c r="E39" s="64"/>
      <c r="F39" s="64"/>
      <c r="G39" s="64"/>
      <c r="H39" s="64"/>
      <c r="I39" s="162"/>
    </row>
    <row r="40" spans="1:12" x14ac:dyDescent="0.2">
      <c r="A40" s="123">
        <f t="shared" si="1"/>
        <v>3.0000000000000013</v>
      </c>
      <c r="B40" s="191">
        <f t="shared" si="0"/>
        <v>0.23906666666666654</v>
      </c>
      <c r="C40" s="64"/>
      <c r="D40" s="64"/>
      <c r="E40" s="64"/>
      <c r="F40" s="64"/>
      <c r="G40" s="64"/>
      <c r="H40" s="64"/>
      <c r="I40" s="162"/>
    </row>
    <row r="41" spans="1:12" x14ac:dyDescent="0.2">
      <c r="A41" s="123">
        <f t="shared" si="1"/>
        <v>3.1000000000000014</v>
      </c>
      <c r="B41" s="191">
        <f t="shared" si="0"/>
        <v>0.2313548387096773</v>
      </c>
      <c r="C41" s="64"/>
      <c r="D41" s="64"/>
      <c r="E41" s="64"/>
      <c r="F41" s="64"/>
      <c r="G41" s="64"/>
      <c r="H41" s="64"/>
      <c r="I41" s="162"/>
    </row>
    <row r="42" spans="1:12" x14ac:dyDescent="0.2">
      <c r="A42" s="123">
        <f t="shared" si="1"/>
        <v>3.2000000000000015</v>
      </c>
      <c r="B42" s="191">
        <f t="shared" si="0"/>
        <v>0.22412499999999988</v>
      </c>
      <c r="C42" s="64"/>
      <c r="D42" s="64"/>
      <c r="E42" s="64"/>
      <c r="F42" s="64"/>
      <c r="G42" s="64"/>
      <c r="H42" s="64"/>
      <c r="I42" s="162"/>
    </row>
    <row r="43" spans="1:12" x14ac:dyDescent="0.2">
      <c r="A43" s="123">
        <f t="shared" si="1"/>
        <v>3.3000000000000016</v>
      </c>
      <c r="B43" s="191">
        <f t="shared" si="0"/>
        <v>0.22</v>
      </c>
      <c r="C43" s="64"/>
      <c r="D43" s="64"/>
      <c r="E43" s="64"/>
      <c r="F43" s="64"/>
      <c r="G43" s="64"/>
      <c r="H43" s="64"/>
      <c r="I43" s="162"/>
    </row>
    <row r="44" spans="1:12" x14ac:dyDescent="0.2">
      <c r="A44" s="123">
        <f t="shared" si="1"/>
        <v>3.4000000000000017</v>
      </c>
      <c r="B44" s="191">
        <f t="shared" si="0"/>
        <v>0.22</v>
      </c>
      <c r="C44" s="64"/>
      <c r="D44" s="64"/>
      <c r="E44" s="64"/>
      <c r="F44" s="64"/>
      <c r="G44" s="64"/>
      <c r="H44" s="64"/>
      <c r="I44" s="162"/>
    </row>
    <row r="45" spans="1:12" x14ac:dyDescent="0.2">
      <c r="A45" s="123">
        <f t="shared" si="1"/>
        <v>3.5000000000000018</v>
      </c>
      <c r="B45" s="191">
        <f t="shared" si="0"/>
        <v>0.22</v>
      </c>
      <c r="C45" s="64"/>
      <c r="D45" s="64"/>
      <c r="E45" s="64"/>
      <c r="F45" s="64"/>
      <c r="G45" s="64"/>
      <c r="H45" s="64"/>
      <c r="I45" s="162"/>
    </row>
    <row r="46" spans="1:12" x14ac:dyDescent="0.2">
      <c r="A46" s="123">
        <f t="shared" si="1"/>
        <v>3.6000000000000019</v>
      </c>
      <c r="B46" s="191">
        <f t="shared" si="0"/>
        <v>0.22</v>
      </c>
      <c r="C46" s="64"/>
      <c r="D46" s="64"/>
      <c r="E46" s="64"/>
      <c r="F46" s="64"/>
      <c r="G46" s="64"/>
      <c r="H46" s="64"/>
      <c r="I46" s="162"/>
    </row>
    <row r="47" spans="1:12" x14ac:dyDescent="0.2">
      <c r="A47" s="123">
        <f t="shared" si="1"/>
        <v>3.700000000000002</v>
      </c>
      <c r="B47" s="191">
        <f t="shared" si="0"/>
        <v>0.22</v>
      </c>
      <c r="C47" s="64"/>
      <c r="D47" s="64"/>
      <c r="E47" s="64"/>
      <c r="F47" s="64"/>
      <c r="G47" s="64"/>
      <c r="H47" s="64"/>
      <c r="I47" s="162"/>
    </row>
    <row r="48" spans="1:12" x14ac:dyDescent="0.2">
      <c r="A48" s="123">
        <f t="shared" si="1"/>
        <v>3.800000000000002</v>
      </c>
      <c r="B48" s="191">
        <f t="shared" si="0"/>
        <v>0.22</v>
      </c>
      <c r="C48" s="64"/>
      <c r="D48" s="64"/>
      <c r="E48" s="64"/>
      <c r="F48" s="64"/>
      <c r="G48" s="64"/>
      <c r="H48" s="64"/>
      <c r="I48" s="162"/>
    </row>
    <row r="49" spans="1:9" ht="15" thickBot="1" x14ac:dyDescent="0.25">
      <c r="A49" s="203">
        <f t="shared" si="1"/>
        <v>3.9000000000000021</v>
      </c>
      <c r="B49" s="204">
        <f t="shared" si="0"/>
        <v>0.22</v>
      </c>
      <c r="C49" s="72"/>
      <c r="D49" s="72"/>
      <c r="E49" s="72"/>
      <c r="F49" s="72"/>
      <c r="G49" s="72"/>
      <c r="H49" s="72"/>
      <c r="I49" s="206"/>
    </row>
  </sheetData>
  <mergeCells count="2">
    <mergeCell ref="D1:I1"/>
    <mergeCell ref="K7:N7"/>
  </mergeCells>
  <dataValidations count="2">
    <dataValidation type="list" allowBlank="1" showInputMessage="1" showErrorMessage="1" sqref="B6" xr:uid="{EE16531E-6656-49F9-9AC2-DF0A4EAEF48B}">
      <formula1>$L$8:$N$8</formula1>
    </dataValidation>
    <dataValidation type="list" allowBlank="1" showInputMessage="1" showErrorMessage="1" sqref="D4" xr:uid="{4E74B138-CD66-4A91-ABF7-90B9E923ACA0}">
      <formula1>$K$2:$K$5</formula1>
    </dataValidation>
  </dataValidations>
  <pageMargins left="0.7" right="0.7" top="0.75" bottom="0.75" header="0.3" footer="0.3"/>
  <pageSetup paperSize="9" orientation="portrait" horizontalDpi="200" verticalDpi="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6015-F53A-433D-BAE6-C7C0576F0A9A}">
  <sheetPr>
    <tabColor rgb="FFFFFF00"/>
  </sheetPr>
  <dimension ref="A1:X63"/>
  <sheetViews>
    <sheetView showGridLines="0" zoomScale="85" zoomScaleNormal="85" zoomScaleSheetLayoutView="85" workbookViewId="0"/>
  </sheetViews>
  <sheetFormatPr baseColWidth="10" defaultRowHeight="14.25" x14ac:dyDescent="0.2"/>
  <cols>
    <col min="1" max="1" width="7.5703125" style="64" bestFit="1" customWidth="1"/>
    <col min="2" max="2" width="8.7109375" style="64" customWidth="1"/>
    <col min="3" max="3" width="5.140625" style="64" customWidth="1"/>
    <col min="4" max="4" width="5.5703125" style="64" customWidth="1"/>
    <col min="5" max="5" width="8.140625" style="64" customWidth="1"/>
    <col min="6" max="6" width="6.85546875" style="64" customWidth="1"/>
    <col min="7" max="12" width="7" style="64" customWidth="1"/>
    <col min="13" max="14" width="11.42578125" style="17"/>
    <col min="15" max="19" width="11.5703125" style="17" bestFit="1" customWidth="1"/>
    <col min="20" max="20" width="2.28515625" style="17" bestFit="1" customWidth="1"/>
    <col min="21" max="23" width="11.5703125" style="17" bestFit="1" customWidth="1"/>
    <col min="24" max="259" width="11.42578125" style="17"/>
    <col min="260" max="260" width="7.42578125" style="17" bestFit="1" customWidth="1"/>
    <col min="261" max="261" width="7.85546875" style="17" customWidth="1"/>
    <col min="262" max="262" width="5.85546875" style="17" customWidth="1"/>
    <col min="263" max="263" width="4.7109375" style="17" bestFit="1" customWidth="1"/>
    <col min="264" max="264" width="8.140625" style="17" customWidth="1"/>
    <col min="265" max="275" width="11.42578125" style="17"/>
    <col min="276" max="276" width="2" style="17" bestFit="1" customWidth="1"/>
    <col min="277" max="515" width="11.42578125" style="17"/>
    <col min="516" max="516" width="7.42578125" style="17" bestFit="1" customWidth="1"/>
    <col min="517" max="517" width="7.85546875" style="17" customWidth="1"/>
    <col min="518" max="518" width="5.85546875" style="17" customWidth="1"/>
    <col min="519" max="519" width="4.7109375" style="17" bestFit="1" customWidth="1"/>
    <col min="520" max="520" width="8.140625" style="17" customWidth="1"/>
    <col min="521" max="531" width="11.42578125" style="17"/>
    <col min="532" max="532" width="2" style="17" bestFit="1" customWidth="1"/>
    <col min="533" max="771" width="11.42578125" style="17"/>
    <col min="772" max="772" width="7.42578125" style="17" bestFit="1" customWidth="1"/>
    <col min="773" max="773" width="7.85546875" style="17" customWidth="1"/>
    <col min="774" max="774" width="5.85546875" style="17" customWidth="1"/>
    <col min="775" max="775" width="4.7109375" style="17" bestFit="1" customWidth="1"/>
    <col min="776" max="776" width="8.140625" style="17" customWidth="1"/>
    <col min="777" max="787" width="11.42578125" style="17"/>
    <col min="788" max="788" width="2" style="17" bestFit="1" customWidth="1"/>
    <col min="789" max="1027" width="11.42578125" style="17"/>
    <col min="1028" max="1028" width="7.42578125" style="17" bestFit="1" customWidth="1"/>
    <col min="1029" max="1029" width="7.85546875" style="17" customWidth="1"/>
    <col min="1030" max="1030" width="5.85546875" style="17" customWidth="1"/>
    <col min="1031" max="1031" width="4.7109375" style="17" bestFit="1" customWidth="1"/>
    <col min="1032" max="1032" width="8.140625" style="17" customWidth="1"/>
    <col min="1033" max="1043" width="11.42578125" style="17"/>
    <col min="1044" max="1044" width="2" style="17" bestFit="1" customWidth="1"/>
    <col min="1045" max="1283" width="11.42578125" style="17"/>
    <col min="1284" max="1284" width="7.42578125" style="17" bestFit="1" customWidth="1"/>
    <col min="1285" max="1285" width="7.85546875" style="17" customWidth="1"/>
    <col min="1286" max="1286" width="5.85546875" style="17" customWidth="1"/>
    <col min="1287" max="1287" width="4.7109375" style="17" bestFit="1" customWidth="1"/>
    <col min="1288" max="1288" width="8.140625" style="17" customWidth="1"/>
    <col min="1289" max="1299" width="11.42578125" style="17"/>
    <col min="1300" max="1300" width="2" style="17" bestFit="1" customWidth="1"/>
    <col min="1301" max="1539" width="11.42578125" style="17"/>
    <col min="1540" max="1540" width="7.42578125" style="17" bestFit="1" customWidth="1"/>
    <col min="1541" max="1541" width="7.85546875" style="17" customWidth="1"/>
    <col min="1542" max="1542" width="5.85546875" style="17" customWidth="1"/>
    <col min="1543" max="1543" width="4.7109375" style="17" bestFit="1" customWidth="1"/>
    <col min="1544" max="1544" width="8.140625" style="17" customWidth="1"/>
    <col min="1545" max="1555" width="11.42578125" style="17"/>
    <col min="1556" max="1556" width="2" style="17" bestFit="1" customWidth="1"/>
    <col min="1557" max="1795" width="11.42578125" style="17"/>
    <col min="1796" max="1796" width="7.42578125" style="17" bestFit="1" customWidth="1"/>
    <col min="1797" max="1797" width="7.85546875" style="17" customWidth="1"/>
    <col min="1798" max="1798" width="5.85546875" style="17" customWidth="1"/>
    <col min="1799" max="1799" width="4.7109375" style="17" bestFit="1" customWidth="1"/>
    <col min="1800" max="1800" width="8.140625" style="17" customWidth="1"/>
    <col min="1801" max="1811" width="11.42578125" style="17"/>
    <col min="1812" max="1812" width="2" style="17" bestFit="1" customWidth="1"/>
    <col min="1813" max="2051" width="11.42578125" style="17"/>
    <col min="2052" max="2052" width="7.42578125" style="17" bestFit="1" customWidth="1"/>
    <col min="2053" max="2053" width="7.85546875" style="17" customWidth="1"/>
    <col min="2054" max="2054" width="5.85546875" style="17" customWidth="1"/>
    <col min="2055" max="2055" width="4.7109375" style="17" bestFit="1" customWidth="1"/>
    <col min="2056" max="2056" width="8.140625" style="17" customWidth="1"/>
    <col min="2057" max="2067" width="11.42578125" style="17"/>
    <col min="2068" max="2068" width="2" style="17" bestFit="1" customWidth="1"/>
    <col min="2069" max="2307" width="11.42578125" style="17"/>
    <col min="2308" max="2308" width="7.42578125" style="17" bestFit="1" customWidth="1"/>
    <col min="2309" max="2309" width="7.85546875" style="17" customWidth="1"/>
    <col min="2310" max="2310" width="5.85546875" style="17" customWidth="1"/>
    <col min="2311" max="2311" width="4.7109375" style="17" bestFit="1" customWidth="1"/>
    <col min="2312" max="2312" width="8.140625" style="17" customWidth="1"/>
    <col min="2313" max="2323" width="11.42578125" style="17"/>
    <col min="2324" max="2324" width="2" style="17" bestFit="1" customWidth="1"/>
    <col min="2325" max="2563" width="11.42578125" style="17"/>
    <col min="2564" max="2564" width="7.42578125" style="17" bestFit="1" customWidth="1"/>
    <col min="2565" max="2565" width="7.85546875" style="17" customWidth="1"/>
    <col min="2566" max="2566" width="5.85546875" style="17" customWidth="1"/>
    <col min="2567" max="2567" width="4.7109375" style="17" bestFit="1" customWidth="1"/>
    <col min="2568" max="2568" width="8.140625" style="17" customWidth="1"/>
    <col min="2569" max="2579" width="11.42578125" style="17"/>
    <col min="2580" max="2580" width="2" style="17" bestFit="1" customWidth="1"/>
    <col min="2581" max="2819" width="11.42578125" style="17"/>
    <col min="2820" max="2820" width="7.42578125" style="17" bestFit="1" customWidth="1"/>
    <col min="2821" max="2821" width="7.85546875" style="17" customWidth="1"/>
    <col min="2822" max="2822" width="5.85546875" style="17" customWidth="1"/>
    <col min="2823" max="2823" width="4.7109375" style="17" bestFit="1" customWidth="1"/>
    <col min="2824" max="2824" width="8.140625" style="17" customWidth="1"/>
    <col min="2825" max="2835" width="11.42578125" style="17"/>
    <col min="2836" max="2836" width="2" style="17" bestFit="1" customWidth="1"/>
    <col min="2837" max="3075" width="11.42578125" style="17"/>
    <col min="3076" max="3076" width="7.42578125" style="17" bestFit="1" customWidth="1"/>
    <col min="3077" max="3077" width="7.85546875" style="17" customWidth="1"/>
    <col min="3078" max="3078" width="5.85546875" style="17" customWidth="1"/>
    <col min="3079" max="3079" width="4.7109375" style="17" bestFit="1" customWidth="1"/>
    <col min="3080" max="3080" width="8.140625" style="17" customWidth="1"/>
    <col min="3081" max="3091" width="11.42578125" style="17"/>
    <col min="3092" max="3092" width="2" style="17" bestFit="1" customWidth="1"/>
    <col min="3093" max="3331" width="11.42578125" style="17"/>
    <col min="3332" max="3332" width="7.42578125" style="17" bestFit="1" customWidth="1"/>
    <col min="3333" max="3333" width="7.85546875" style="17" customWidth="1"/>
    <col min="3334" max="3334" width="5.85546875" style="17" customWidth="1"/>
    <col min="3335" max="3335" width="4.7109375" style="17" bestFit="1" customWidth="1"/>
    <col min="3336" max="3336" width="8.140625" style="17" customWidth="1"/>
    <col min="3337" max="3347" width="11.42578125" style="17"/>
    <col min="3348" max="3348" width="2" style="17" bestFit="1" customWidth="1"/>
    <col min="3349" max="3587" width="11.42578125" style="17"/>
    <col min="3588" max="3588" width="7.42578125" style="17" bestFit="1" customWidth="1"/>
    <col min="3589" max="3589" width="7.85546875" style="17" customWidth="1"/>
    <col min="3590" max="3590" width="5.85546875" style="17" customWidth="1"/>
    <col min="3591" max="3591" width="4.7109375" style="17" bestFit="1" customWidth="1"/>
    <col min="3592" max="3592" width="8.140625" style="17" customWidth="1"/>
    <col min="3593" max="3603" width="11.42578125" style="17"/>
    <col min="3604" max="3604" width="2" style="17" bestFit="1" customWidth="1"/>
    <col min="3605" max="3843" width="11.42578125" style="17"/>
    <col min="3844" max="3844" width="7.42578125" style="17" bestFit="1" customWidth="1"/>
    <col min="3845" max="3845" width="7.85546875" style="17" customWidth="1"/>
    <col min="3846" max="3846" width="5.85546875" style="17" customWidth="1"/>
    <col min="3847" max="3847" width="4.7109375" style="17" bestFit="1" customWidth="1"/>
    <col min="3848" max="3848" width="8.140625" style="17" customWidth="1"/>
    <col min="3849" max="3859" width="11.42578125" style="17"/>
    <col min="3860" max="3860" width="2" style="17" bestFit="1" customWidth="1"/>
    <col min="3861" max="4099" width="11.42578125" style="17"/>
    <col min="4100" max="4100" width="7.42578125" style="17" bestFit="1" customWidth="1"/>
    <col min="4101" max="4101" width="7.85546875" style="17" customWidth="1"/>
    <col min="4102" max="4102" width="5.85546875" style="17" customWidth="1"/>
    <col min="4103" max="4103" width="4.7109375" style="17" bestFit="1" customWidth="1"/>
    <col min="4104" max="4104" width="8.140625" style="17" customWidth="1"/>
    <col min="4105" max="4115" width="11.42578125" style="17"/>
    <col min="4116" max="4116" width="2" style="17" bestFit="1" customWidth="1"/>
    <col min="4117" max="4355" width="11.42578125" style="17"/>
    <col min="4356" max="4356" width="7.42578125" style="17" bestFit="1" customWidth="1"/>
    <col min="4357" max="4357" width="7.85546875" style="17" customWidth="1"/>
    <col min="4358" max="4358" width="5.85546875" style="17" customWidth="1"/>
    <col min="4359" max="4359" width="4.7109375" style="17" bestFit="1" customWidth="1"/>
    <col min="4360" max="4360" width="8.140625" style="17" customWidth="1"/>
    <col min="4361" max="4371" width="11.42578125" style="17"/>
    <col min="4372" max="4372" width="2" style="17" bestFit="1" customWidth="1"/>
    <col min="4373" max="4611" width="11.42578125" style="17"/>
    <col min="4612" max="4612" width="7.42578125" style="17" bestFit="1" customWidth="1"/>
    <col min="4613" max="4613" width="7.85546875" style="17" customWidth="1"/>
    <col min="4614" max="4614" width="5.85546875" style="17" customWidth="1"/>
    <col min="4615" max="4615" width="4.7109375" style="17" bestFit="1" customWidth="1"/>
    <col min="4616" max="4616" width="8.140625" style="17" customWidth="1"/>
    <col min="4617" max="4627" width="11.42578125" style="17"/>
    <col min="4628" max="4628" width="2" style="17" bestFit="1" customWidth="1"/>
    <col min="4629" max="4867" width="11.42578125" style="17"/>
    <col min="4868" max="4868" width="7.42578125" style="17" bestFit="1" customWidth="1"/>
    <col min="4869" max="4869" width="7.85546875" style="17" customWidth="1"/>
    <col min="4870" max="4870" width="5.85546875" style="17" customWidth="1"/>
    <col min="4871" max="4871" width="4.7109375" style="17" bestFit="1" customWidth="1"/>
    <col min="4872" max="4872" width="8.140625" style="17" customWidth="1"/>
    <col min="4873" max="4883" width="11.42578125" style="17"/>
    <col min="4884" max="4884" width="2" style="17" bestFit="1" customWidth="1"/>
    <col min="4885" max="5123" width="11.42578125" style="17"/>
    <col min="5124" max="5124" width="7.42578125" style="17" bestFit="1" customWidth="1"/>
    <col min="5125" max="5125" width="7.85546875" style="17" customWidth="1"/>
    <col min="5126" max="5126" width="5.85546875" style="17" customWidth="1"/>
    <col min="5127" max="5127" width="4.7109375" style="17" bestFit="1" customWidth="1"/>
    <col min="5128" max="5128" width="8.140625" style="17" customWidth="1"/>
    <col min="5129" max="5139" width="11.42578125" style="17"/>
    <col min="5140" max="5140" width="2" style="17" bestFit="1" customWidth="1"/>
    <col min="5141" max="5379" width="11.42578125" style="17"/>
    <col min="5380" max="5380" width="7.42578125" style="17" bestFit="1" customWidth="1"/>
    <col min="5381" max="5381" width="7.85546875" style="17" customWidth="1"/>
    <col min="5382" max="5382" width="5.85546875" style="17" customWidth="1"/>
    <col min="5383" max="5383" width="4.7109375" style="17" bestFit="1" customWidth="1"/>
    <col min="5384" max="5384" width="8.140625" style="17" customWidth="1"/>
    <col min="5385" max="5395" width="11.42578125" style="17"/>
    <col min="5396" max="5396" width="2" style="17" bestFit="1" customWidth="1"/>
    <col min="5397" max="5635" width="11.42578125" style="17"/>
    <col min="5636" max="5636" width="7.42578125" style="17" bestFit="1" customWidth="1"/>
    <col min="5637" max="5637" width="7.85546875" style="17" customWidth="1"/>
    <col min="5638" max="5638" width="5.85546875" style="17" customWidth="1"/>
    <col min="5639" max="5639" width="4.7109375" style="17" bestFit="1" customWidth="1"/>
    <col min="5640" max="5640" width="8.140625" style="17" customWidth="1"/>
    <col min="5641" max="5651" width="11.42578125" style="17"/>
    <col min="5652" max="5652" width="2" style="17" bestFit="1" customWidth="1"/>
    <col min="5653" max="5891" width="11.42578125" style="17"/>
    <col min="5892" max="5892" width="7.42578125" style="17" bestFit="1" customWidth="1"/>
    <col min="5893" max="5893" width="7.85546875" style="17" customWidth="1"/>
    <col min="5894" max="5894" width="5.85546875" style="17" customWidth="1"/>
    <col min="5895" max="5895" width="4.7109375" style="17" bestFit="1" customWidth="1"/>
    <col min="5896" max="5896" width="8.140625" style="17" customWidth="1"/>
    <col min="5897" max="5907" width="11.42578125" style="17"/>
    <col min="5908" max="5908" width="2" style="17" bestFit="1" customWidth="1"/>
    <col min="5909" max="6147" width="11.42578125" style="17"/>
    <col min="6148" max="6148" width="7.42578125" style="17" bestFit="1" customWidth="1"/>
    <col min="6149" max="6149" width="7.85546875" style="17" customWidth="1"/>
    <col min="6150" max="6150" width="5.85546875" style="17" customWidth="1"/>
    <col min="6151" max="6151" width="4.7109375" style="17" bestFit="1" customWidth="1"/>
    <col min="6152" max="6152" width="8.140625" style="17" customWidth="1"/>
    <col min="6153" max="6163" width="11.42578125" style="17"/>
    <col min="6164" max="6164" width="2" style="17" bestFit="1" customWidth="1"/>
    <col min="6165" max="6403" width="11.42578125" style="17"/>
    <col min="6404" max="6404" width="7.42578125" style="17" bestFit="1" customWidth="1"/>
    <col min="6405" max="6405" width="7.85546875" style="17" customWidth="1"/>
    <col min="6406" max="6406" width="5.85546875" style="17" customWidth="1"/>
    <col min="6407" max="6407" width="4.7109375" style="17" bestFit="1" customWidth="1"/>
    <col min="6408" max="6408" width="8.140625" style="17" customWidth="1"/>
    <col min="6409" max="6419" width="11.42578125" style="17"/>
    <col min="6420" max="6420" width="2" style="17" bestFit="1" customWidth="1"/>
    <col min="6421" max="6659" width="11.42578125" style="17"/>
    <col min="6660" max="6660" width="7.42578125" style="17" bestFit="1" customWidth="1"/>
    <col min="6661" max="6661" width="7.85546875" style="17" customWidth="1"/>
    <col min="6662" max="6662" width="5.85546875" style="17" customWidth="1"/>
    <col min="6663" max="6663" width="4.7109375" style="17" bestFit="1" customWidth="1"/>
    <col min="6664" max="6664" width="8.140625" style="17" customWidth="1"/>
    <col min="6665" max="6675" width="11.42578125" style="17"/>
    <col min="6676" max="6676" width="2" style="17" bestFit="1" customWidth="1"/>
    <col min="6677" max="6915" width="11.42578125" style="17"/>
    <col min="6916" max="6916" width="7.42578125" style="17" bestFit="1" customWidth="1"/>
    <col min="6917" max="6917" width="7.85546875" style="17" customWidth="1"/>
    <col min="6918" max="6918" width="5.85546875" style="17" customWidth="1"/>
    <col min="6919" max="6919" width="4.7109375" style="17" bestFit="1" customWidth="1"/>
    <col min="6920" max="6920" width="8.140625" style="17" customWidth="1"/>
    <col min="6921" max="6931" width="11.42578125" style="17"/>
    <col min="6932" max="6932" width="2" style="17" bestFit="1" customWidth="1"/>
    <col min="6933" max="7171" width="11.42578125" style="17"/>
    <col min="7172" max="7172" width="7.42578125" style="17" bestFit="1" customWidth="1"/>
    <col min="7173" max="7173" width="7.85546875" style="17" customWidth="1"/>
    <col min="7174" max="7174" width="5.85546875" style="17" customWidth="1"/>
    <col min="7175" max="7175" width="4.7109375" style="17" bestFit="1" customWidth="1"/>
    <col min="7176" max="7176" width="8.140625" style="17" customWidth="1"/>
    <col min="7177" max="7187" width="11.42578125" style="17"/>
    <col min="7188" max="7188" width="2" style="17" bestFit="1" customWidth="1"/>
    <col min="7189" max="7427" width="11.42578125" style="17"/>
    <col min="7428" max="7428" width="7.42578125" style="17" bestFit="1" customWidth="1"/>
    <col min="7429" max="7429" width="7.85546875" style="17" customWidth="1"/>
    <col min="7430" max="7430" width="5.85546875" style="17" customWidth="1"/>
    <col min="7431" max="7431" width="4.7109375" style="17" bestFit="1" customWidth="1"/>
    <col min="7432" max="7432" width="8.140625" style="17" customWidth="1"/>
    <col min="7433" max="7443" width="11.42578125" style="17"/>
    <col min="7444" max="7444" width="2" style="17" bestFit="1" customWidth="1"/>
    <col min="7445" max="7683" width="11.42578125" style="17"/>
    <col min="7684" max="7684" width="7.42578125" style="17" bestFit="1" customWidth="1"/>
    <col min="7685" max="7685" width="7.85546875" style="17" customWidth="1"/>
    <col min="7686" max="7686" width="5.85546875" style="17" customWidth="1"/>
    <col min="7687" max="7687" width="4.7109375" style="17" bestFit="1" customWidth="1"/>
    <col min="7688" max="7688" width="8.140625" style="17" customWidth="1"/>
    <col min="7689" max="7699" width="11.42578125" style="17"/>
    <col min="7700" max="7700" width="2" style="17" bestFit="1" customWidth="1"/>
    <col min="7701" max="7939" width="11.42578125" style="17"/>
    <col min="7940" max="7940" width="7.42578125" style="17" bestFit="1" customWidth="1"/>
    <col min="7941" max="7941" width="7.85546875" style="17" customWidth="1"/>
    <col min="7942" max="7942" width="5.85546875" style="17" customWidth="1"/>
    <col min="7943" max="7943" width="4.7109375" style="17" bestFit="1" customWidth="1"/>
    <col min="7944" max="7944" width="8.140625" style="17" customWidth="1"/>
    <col min="7945" max="7955" width="11.42578125" style="17"/>
    <col min="7956" max="7956" width="2" style="17" bestFit="1" customWidth="1"/>
    <col min="7957" max="8195" width="11.42578125" style="17"/>
    <col min="8196" max="8196" width="7.42578125" style="17" bestFit="1" customWidth="1"/>
    <col min="8197" max="8197" width="7.85546875" style="17" customWidth="1"/>
    <col min="8198" max="8198" width="5.85546875" style="17" customWidth="1"/>
    <col min="8199" max="8199" width="4.7109375" style="17" bestFit="1" customWidth="1"/>
    <col min="8200" max="8200" width="8.140625" style="17" customWidth="1"/>
    <col min="8201" max="8211" width="11.42578125" style="17"/>
    <col min="8212" max="8212" width="2" style="17" bestFit="1" customWidth="1"/>
    <col min="8213" max="8451" width="11.42578125" style="17"/>
    <col min="8452" max="8452" width="7.42578125" style="17" bestFit="1" customWidth="1"/>
    <col min="8453" max="8453" width="7.85546875" style="17" customWidth="1"/>
    <col min="8454" max="8454" width="5.85546875" style="17" customWidth="1"/>
    <col min="8455" max="8455" width="4.7109375" style="17" bestFit="1" customWidth="1"/>
    <col min="8456" max="8456" width="8.140625" style="17" customWidth="1"/>
    <col min="8457" max="8467" width="11.42578125" style="17"/>
    <col min="8468" max="8468" width="2" style="17" bestFit="1" customWidth="1"/>
    <col min="8469" max="8707" width="11.42578125" style="17"/>
    <col min="8708" max="8708" width="7.42578125" style="17" bestFit="1" customWidth="1"/>
    <col min="8709" max="8709" width="7.85546875" style="17" customWidth="1"/>
    <col min="8710" max="8710" width="5.85546875" style="17" customWidth="1"/>
    <col min="8711" max="8711" width="4.7109375" style="17" bestFit="1" customWidth="1"/>
    <col min="8712" max="8712" width="8.140625" style="17" customWidth="1"/>
    <col min="8713" max="8723" width="11.42578125" style="17"/>
    <col min="8724" max="8724" width="2" style="17" bestFit="1" customWidth="1"/>
    <col min="8725" max="8963" width="11.42578125" style="17"/>
    <col min="8964" max="8964" width="7.42578125" style="17" bestFit="1" customWidth="1"/>
    <col min="8965" max="8965" width="7.85546875" style="17" customWidth="1"/>
    <col min="8966" max="8966" width="5.85546875" style="17" customWidth="1"/>
    <col min="8967" max="8967" width="4.7109375" style="17" bestFit="1" customWidth="1"/>
    <col min="8968" max="8968" width="8.140625" style="17" customWidth="1"/>
    <col min="8969" max="8979" width="11.42578125" style="17"/>
    <col min="8980" max="8980" width="2" style="17" bestFit="1" customWidth="1"/>
    <col min="8981" max="9219" width="11.42578125" style="17"/>
    <col min="9220" max="9220" width="7.42578125" style="17" bestFit="1" customWidth="1"/>
    <col min="9221" max="9221" width="7.85546875" style="17" customWidth="1"/>
    <col min="9222" max="9222" width="5.85546875" style="17" customWidth="1"/>
    <col min="9223" max="9223" width="4.7109375" style="17" bestFit="1" customWidth="1"/>
    <col min="9224" max="9224" width="8.140625" style="17" customWidth="1"/>
    <col min="9225" max="9235" width="11.42578125" style="17"/>
    <col min="9236" max="9236" width="2" style="17" bestFit="1" customWidth="1"/>
    <col min="9237" max="9475" width="11.42578125" style="17"/>
    <col min="9476" max="9476" width="7.42578125" style="17" bestFit="1" customWidth="1"/>
    <col min="9477" max="9477" width="7.85546875" style="17" customWidth="1"/>
    <col min="9478" max="9478" width="5.85546875" style="17" customWidth="1"/>
    <col min="9479" max="9479" width="4.7109375" style="17" bestFit="1" customWidth="1"/>
    <col min="9480" max="9480" width="8.140625" style="17" customWidth="1"/>
    <col min="9481" max="9491" width="11.42578125" style="17"/>
    <col min="9492" max="9492" width="2" style="17" bestFit="1" customWidth="1"/>
    <col min="9493" max="9731" width="11.42578125" style="17"/>
    <col min="9732" max="9732" width="7.42578125" style="17" bestFit="1" customWidth="1"/>
    <col min="9733" max="9733" width="7.85546875" style="17" customWidth="1"/>
    <col min="9734" max="9734" width="5.85546875" style="17" customWidth="1"/>
    <col min="9735" max="9735" width="4.7109375" style="17" bestFit="1" customWidth="1"/>
    <col min="9736" max="9736" width="8.140625" style="17" customWidth="1"/>
    <col min="9737" max="9747" width="11.42578125" style="17"/>
    <col min="9748" max="9748" width="2" style="17" bestFit="1" customWidth="1"/>
    <col min="9749" max="9987" width="11.42578125" style="17"/>
    <col min="9988" max="9988" width="7.42578125" style="17" bestFit="1" customWidth="1"/>
    <col min="9989" max="9989" width="7.85546875" style="17" customWidth="1"/>
    <col min="9990" max="9990" width="5.85546875" style="17" customWidth="1"/>
    <col min="9991" max="9991" width="4.7109375" style="17" bestFit="1" customWidth="1"/>
    <col min="9992" max="9992" width="8.140625" style="17" customWidth="1"/>
    <col min="9993" max="10003" width="11.42578125" style="17"/>
    <col min="10004" max="10004" width="2" style="17" bestFit="1" customWidth="1"/>
    <col min="10005" max="10243" width="11.42578125" style="17"/>
    <col min="10244" max="10244" width="7.42578125" style="17" bestFit="1" customWidth="1"/>
    <col min="10245" max="10245" width="7.85546875" style="17" customWidth="1"/>
    <col min="10246" max="10246" width="5.85546875" style="17" customWidth="1"/>
    <col min="10247" max="10247" width="4.7109375" style="17" bestFit="1" customWidth="1"/>
    <col min="10248" max="10248" width="8.140625" style="17" customWidth="1"/>
    <col min="10249" max="10259" width="11.42578125" style="17"/>
    <col min="10260" max="10260" width="2" style="17" bestFit="1" customWidth="1"/>
    <col min="10261" max="10499" width="11.42578125" style="17"/>
    <col min="10500" max="10500" width="7.42578125" style="17" bestFit="1" customWidth="1"/>
    <col min="10501" max="10501" width="7.85546875" style="17" customWidth="1"/>
    <col min="10502" max="10502" width="5.85546875" style="17" customWidth="1"/>
    <col min="10503" max="10503" width="4.7109375" style="17" bestFit="1" customWidth="1"/>
    <col min="10504" max="10504" width="8.140625" style="17" customWidth="1"/>
    <col min="10505" max="10515" width="11.42578125" style="17"/>
    <col min="10516" max="10516" width="2" style="17" bestFit="1" customWidth="1"/>
    <col min="10517" max="10755" width="11.42578125" style="17"/>
    <col min="10756" max="10756" width="7.42578125" style="17" bestFit="1" customWidth="1"/>
    <col min="10757" max="10757" width="7.85546875" style="17" customWidth="1"/>
    <col min="10758" max="10758" width="5.85546875" style="17" customWidth="1"/>
    <col min="10759" max="10759" width="4.7109375" style="17" bestFit="1" customWidth="1"/>
    <col min="10760" max="10760" width="8.140625" style="17" customWidth="1"/>
    <col min="10761" max="10771" width="11.42578125" style="17"/>
    <col min="10772" max="10772" width="2" style="17" bestFit="1" customWidth="1"/>
    <col min="10773" max="11011" width="11.42578125" style="17"/>
    <col min="11012" max="11012" width="7.42578125" style="17" bestFit="1" customWidth="1"/>
    <col min="11013" max="11013" width="7.85546875" style="17" customWidth="1"/>
    <col min="11014" max="11014" width="5.85546875" style="17" customWidth="1"/>
    <col min="11015" max="11015" width="4.7109375" style="17" bestFit="1" customWidth="1"/>
    <col min="11016" max="11016" width="8.140625" style="17" customWidth="1"/>
    <col min="11017" max="11027" width="11.42578125" style="17"/>
    <col min="11028" max="11028" width="2" style="17" bestFit="1" customWidth="1"/>
    <col min="11029" max="11267" width="11.42578125" style="17"/>
    <col min="11268" max="11268" width="7.42578125" style="17" bestFit="1" customWidth="1"/>
    <col min="11269" max="11269" width="7.85546875" style="17" customWidth="1"/>
    <col min="11270" max="11270" width="5.85546875" style="17" customWidth="1"/>
    <col min="11271" max="11271" width="4.7109375" style="17" bestFit="1" customWidth="1"/>
    <col min="11272" max="11272" width="8.140625" style="17" customWidth="1"/>
    <col min="11273" max="11283" width="11.42578125" style="17"/>
    <col min="11284" max="11284" width="2" style="17" bestFit="1" customWidth="1"/>
    <col min="11285" max="11523" width="11.42578125" style="17"/>
    <col min="11524" max="11524" width="7.42578125" style="17" bestFit="1" customWidth="1"/>
    <col min="11525" max="11525" width="7.85546875" style="17" customWidth="1"/>
    <col min="11526" max="11526" width="5.85546875" style="17" customWidth="1"/>
    <col min="11527" max="11527" width="4.7109375" style="17" bestFit="1" customWidth="1"/>
    <col min="11528" max="11528" width="8.140625" style="17" customWidth="1"/>
    <col min="11529" max="11539" width="11.42578125" style="17"/>
    <col min="11540" max="11540" width="2" style="17" bestFit="1" customWidth="1"/>
    <col min="11541" max="11779" width="11.42578125" style="17"/>
    <col min="11780" max="11780" width="7.42578125" style="17" bestFit="1" customWidth="1"/>
    <col min="11781" max="11781" width="7.85546875" style="17" customWidth="1"/>
    <col min="11782" max="11782" width="5.85546875" style="17" customWidth="1"/>
    <col min="11783" max="11783" width="4.7109375" style="17" bestFit="1" customWidth="1"/>
    <col min="11784" max="11784" width="8.140625" style="17" customWidth="1"/>
    <col min="11785" max="11795" width="11.42578125" style="17"/>
    <col min="11796" max="11796" width="2" style="17" bestFit="1" customWidth="1"/>
    <col min="11797" max="12035" width="11.42578125" style="17"/>
    <col min="12036" max="12036" width="7.42578125" style="17" bestFit="1" customWidth="1"/>
    <col min="12037" max="12037" width="7.85546875" style="17" customWidth="1"/>
    <col min="12038" max="12038" width="5.85546875" style="17" customWidth="1"/>
    <col min="12039" max="12039" width="4.7109375" style="17" bestFit="1" customWidth="1"/>
    <col min="12040" max="12040" width="8.140625" style="17" customWidth="1"/>
    <col min="12041" max="12051" width="11.42578125" style="17"/>
    <col min="12052" max="12052" width="2" style="17" bestFit="1" customWidth="1"/>
    <col min="12053" max="12291" width="11.42578125" style="17"/>
    <col min="12292" max="12292" width="7.42578125" style="17" bestFit="1" customWidth="1"/>
    <col min="12293" max="12293" width="7.85546875" style="17" customWidth="1"/>
    <col min="12294" max="12294" width="5.85546875" style="17" customWidth="1"/>
    <col min="12295" max="12295" width="4.7109375" style="17" bestFit="1" customWidth="1"/>
    <col min="12296" max="12296" width="8.140625" style="17" customWidth="1"/>
    <col min="12297" max="12307" width="11.42578125" style="17"/>
    <col min="12308" max="12308" width="2" style="17" bestFit="1" customWidth="1"/>
    <col min="12309" max="12547" width="11.42578125" style="17"/>
    <col min="12548" max="12548" width="7.42578125" style="17" bestFit="1" customWidth="1"/>
    <col min="12549" max="12549" width="7.85546875" style="17" customWidth="1"/>
    <col min="12550" max="12550" width="5.85546875" style="17" customWidth="1"/>
    <col min="12551" max="12551" width="4.7109375" style="17" bestFit="1" customWidth="1"/>
    <col min="12552" max="12552" width="8.140625" style="17" customWidth="1"/>
    <col min="12553" max="12563" width="11.42578125" style="17"/>
    <col min="12564" max="12564" width="2" style="17" bestFit="1" customWidth="1"/>
    <col min="12565" max="12803" width="11.42578125" style="17"/>
    <col min="12804" max="12804" width="7.42578125" style="17" bestFit="1" customWidth="1"/>
    <col min="12805" max="12805" width="7.85546875" style="17" customWidth="1"/>
    <col min="12806" max="12806" width="5.85546875" style="17" customWidth="1"/>
    <col min="12807" max="12807" width="4.7109375" style="17" bestFit="1" customWidth="1"/>
    <col min="12808" max="12808" width="8.140625" style="17" customWidth="1"/>
    <col min="12809" max="12819" width="11.42578125" style="17"/>
    <col min="12820" max="12820" width="2" style="17" bestFit="1" customWidth="1"/>
    <col min="12821" max="13059" width="11.42578125" style="17"/>
    <col min="13060" max="13060" width="7.42578125" style="17" bestFit="1" customWidth="1"/>
    <col min="13061" max="13061" width="7.85546875" style="17" customWidth="1"/>
    <col min="13062" max="13062" width="5.85546875" style="17" customWidth="1"/>
    <col min="13063" max="13063" width="4.7109375" style="17" bestFit="1" customWidth="1"/>
    <col min="13064" max="13064" width="8.140625" style="17" customWidth="1"/>
    <col min="13065" max="13075" width="11.42578125" style="17"/>
    <col min="13076" max="13076" width="2" style="17" bestFit="1" customWidth="1"/>
    <col min="13077" max="13315" width="11.42578125" style="17"/>
    <col min="13316" max="13316" width="7.42578125" style="17" bestFit="1" customWidth="1"/>
    <col min="13317" max="13317" width="7.85546875" style="17" customWidth="1"/>
    <col min="13318" max="13318" width="5.85546875" style="17" customWidth="1"/>
    <col min="13319" max="13319" width="4.7109375" style="17" bestFit="1" customWidth="1"/>
    <col min="13320" max="13320" width="8.140625" style="17" customWidth="1"/>
    <col min="13321" max="13331" width="11.42578125" style="17"/>
    <col min="13332" max="13332" width="2" style="17" bestFit="1" customWidth="1"/>
    <col min="13333" max="13571" width="11.42578125" style="17"/>
    <col min="13572" max="13572" width="7.42578125" style="17" bestFit="1" customWidth="1"/>
    <col min="13573" max="13573" width="7.85546875" style="17" customWidth="1"/>
    <col min="13574" max="13574" width="5.85546875" style="17" customWidth="1"/>
    <col min="13575" max="13575" width="4.7109375" style="17" bestFit="1" customWidth="1"/>
    <col min="13576" max="13576" width="8.140625" style="17" customWidth="1"/>
    <col min="13577" max="13587" width="11.42578125" style="17"/>
    <col min="13588" max="13588" width="2" style="17" bestFit="1" customWidth="1"/>
    <col min="13589" max="13827" width="11.42578125" style="17"/>
    <col min="13828" max="13828" width="7.42578125" style="17" bestFit="1" customWidth="1"/>
    <col min="13829" max="13829" width="7.85546875" style="17" customWidth="1"/>
    <col min="13830" max="13830" width="5.85546875" style="17" customWidth="1"/>
    <col min="13831" max="13831" width="4.7109375" style="17" bestFit="1" customWidth="1"/>
    <col min="13832" max="13832" width="8.140625" style="17" customWidth="1"/>
    <col min="13833" max="13843" width="11.42578125" style="17"/>
    <col min="13844" max="13844" width="2" style="17" bestFit="1" customWidth="1"/>
    <col min="13845" max="14083" width="11.42578125" style="17"/>
    <col min="14084" max="14084" width="7.42578125" style="17" bestFit="1" customWidth="1"/>
    <col min="14085" max="14085" width="7.85546875" style="17" customWidth="1"/>
    <col min="14086" max="14086" width="5.85546875" style="17" customWidth="1"/>
    <col min="14087" max="14087" width="4.7109375" style="17" bestFit="1" customWidth="1"/>
    <col min="14088" max="14088" width="8.140625" style="17" customWidth="1"/>
    <col min="14089" max="14099" width="11.42578125" style="17"/>
    <col min="14100" max="14100" width="2" style="17" bestFit="1" customWidth="1"/>
    <col min="14101" max="14339" width="11.42578125" style="17"/>
    <col min="14340" max="14340" width="7.42578125" style="17" bestFit="1" customWidth="1"/>
    <col min="14341" max="14341" width="7.85546875" style="17" customWidth="1"/>
    <col min="14342" max="14342" width="5.85546875" style="17" customWidth="1"/>
    <col min="14343" max="14343" width="4.7109375" style="17" bestFit="1" customWidth="1"/>
    <col min="14344" max="14344" width="8.140625" style="17" customWidth="1"/>
    <col min="14345" max="14355" width="11.42578125" style="17"/>
    <col min="14356" max="14356" width="2" style="17" bestFit="1" customWidth="1"/>
    <col min="14357" max="14595" width="11.42578125" style="17"/>
    <col min="14596" max="14596" width="7.42578125" style="17" bestFit="1" customWidth="1"/>
    <col min="14597" max="14597" width="7.85546875" style="17" customWidth="1"/>
    <col min="14598" max="14598" width="5.85546875" style="17" customWidth="1"/>
    <col min="14599" max="14599" width="4.7109375" style="17" bestFit="1" customWidth="1"/>
    <col min="14600" max="14600" width="8.140625" style="17" customWidth="1"/>
    <col min="14601" max="14611" width="11.42578125" style="17"/>
    <col min="14612" max="14612" width="2" style="17" bestFit="1" customWidth="1"/>
    <col min="14613" max="14851" width="11.42578125" style="17"/>
    <col min="14852" max="14852" width="7.42578125" style="17" bestFit="1" customWidth="1"/>
    <col min="14853" max="14853" width="7.85546875" style="17" customWidth="1"/>
    <col min="14854" max="14854" width="5.85546875" style="17" customWidth="1"/>
    <col min="14855" max="14855" width="4.7109375" style="17" bestFit="1" customWidth="1"/>
    <col min="14856" max="14856" width="8.140625" style="17" customWidth="1"/>
    <col min="14857" max="14867" width="11.42578125" style="17"/>
    <col min="14868" max="14868" width="2" style="17" bestFit="1" customWidth="1"/>
    <col min="14869" max="15107" width="11.42578125" style="17"/>
    <col min="15108" max="15108" width="7.42578125" style="17" bestFit="1" customWidth="1"/>
    <col min="15109" max="15109" width="7.85546875" style="17" customWidth="1"/>
    <col min="15110" max="15110" width="5.85546875" style="17" customWidth="1"/>
    <col min="15111" max="15111" width="4.7109375" style="17" bestFit="1" customWidth="1"/>
    <col min="15112" max="15112" width="8.140625" style="17" customWidth="1"/>
    <col min="15113" max="15123" width="11.42578125" style="17"/>
    <col min="15124" max="15124" width="2" style="17" bestFit="1" customWidth="1"/>
    <col min="15125" max="15363" width="11.42578125" style="17"/>
    <col min="15364" max="15364" width="7.42578125" style="17" bestFit="1" customWidth="1"/>
    <col min="15365" max="15365" width="7.85546875" style="17" customWidth="1"/>
    <col min="15366" max="15366" width="5.85546875" style="17" customWidth="1"/>
    <col min="15367" max="15367" width="4.7109375" style="17" bestFit="1" customWidth="1"/>
    <col min="15368" max="15368" width="8.140625" style="17" customWidth="1"/>
    <col min="15369" max="15379" width="11.42578125" style="17"/>
    <col min="15380" max="15380" width="2" style="17" bestFit="1" customWidth="1"/>
    <col min="15381" max="15619" width="11.42578125" style="17"/>
    <col min="15620" max="15620" width="7.42578125" style="17" bestFit="1" customWidth="1"/>
    <col min="15621" max="15621" width="7.85546875" style="17" customWidth="1"/>
    <col min="15622" max="15622" width="5.85546875" style="17" customWidth="1"/>
    <col min="15623" max="15623" width="4.7109375" style="17" bestFit="1" customWidth="1"/>
    <col min="15624" max="15624" width="8.140625" style="17" customWidth="1"/>
    <col min="15625" max="15635" width="11.42578125" style="17"/>
    <col min="15636" max="15636" width="2" style="17" bestFit="1" customWidth="1"/>
    <col min="15637" max="15875" width="11.42578125" style="17"/>
    <col min="15876" max="15876" width="7.42578125" style="17" bestFit="1" customWidth="1"/>
    <col min="15877" max="15877" width="7.85546875" style="17" customWidth="1"/>
    <col min="15878" max="15878" width="5.85546875" style="17" customWidth="1"/>
    <col min="15879" max="15879" width="4.7109375" style="17" bestFit="1" customWidth="1"/>
    <col min="15880" max="15880" width="8.140625" style="17" customWidth="1"/>
    <col min="15881" max="15891" width="11.42578125" style="17"/>
    <col min="15892" max="15892" width="2" style="17" bestFit="1" customWidth="1"/>
    <col min="15893" max="16131" width="11.42578125" style="17"/>
    <col min="16132" max="16132" width="7.42578125" style="17" bestFit="1" customWidth="1"/>
    <col min="16133" max="16133" width="7.85546875" style="17" customWidth="1"/>
    <col min="16134" max="16134" width="5.85546875" style="17" customWidth="1"/>
    <col min="16135" max="16135" width="4.7109375" style="17" bestFit="1" customWidth="1"/>
    <col min="16136" max="16136" width="8.140625" style="17" customWidth="1"/>
    <col min="16137" max="16147" width="11.42578125" style="17"/>
    <col min="16148" max="16148" width="2" style="17" bestFit="1" customWidth="1"/>
    <col min="16149" max="16384" width="11.42578125" style="17"/>
  </cols>
  <sheetData>
    <row r="1" spans="1:24" ht="45.75" customHeight="1" thickBot="1" x14ac:dyDescent="0.3">
      <c r="A1" s="56"/>
      <c r="B1" s="57"/>
      <c r="C1" s="58"/>
      <c r="D1" s="59" t="s">
        <v>226</v>
      </c>
      <c r="E1" s="60"/>
      <c r="F1" s="60"/>
      <c r="G1" s="60"/>
      <c r="H1" s="60"/>
      <c r="I1" s="60"/>
      <c r="J1" s="60"/>
      <c r="K1" s="60"/>
      <c r="L1" s="61"/>
    </row>
    <row r="2" spans="1:24" ht="15" customHeight="1" thickBot="1" x14ac:dyDescent="0.35">
      <c r="I2" s="65" t="s">
        <v>191</v>
      </c>
      <c r="J2" s="66"/>
      <c r="K2" s="66"/>
      <c r="L2" s="67" t="str">
        <f>INICIO!$B$7&amp;", "&amp;INICIO!$B$6</f>
        <v>Armenia, Quindío</v>
      </c>
    </row>
    <row r="3" spans="1:24" ht="15" thickBot="1" x14ac:dyDescent="0.25">
      <c r="A3" s="152" t="s">
        <v>192</v>
      </c>
      <c r="B3" s="153"/>
      <c r="C3" s="153"/>
      <c r="D3" s="70" t="s">
        <v>65</v>
      </c>
    </row>
    <row r="4" spans="1:24" ht="15" thickBot="1" x14ac:dyDescent="0.25">
      <c r="J4" s="17"/>
      <c r="K4" s="17"/>
      <c r="L4" s="17"/>
    </row>
    <row r="5" spans="1:24" ht="15.75" customHeight="1" thickBot="1" x14ac:dyDescent="0.25">
      <c r="A5" s="75" t="s">
        <v>227</v>
      </c>
      <c r="B5" s="76">
        <f>VLOOKUP($L$2,BD_Municipios!$D$2:$J$1152,3,FALSE)</f>
        <v>0.25</v>
      </c>
      <c r="E5" s="154" t="s">
        <v>228</v>
      </c>
      <c r="F5" s="76">
        <f>VLOOKUP($D$3,$N$8:$X$13,$X$34-$N$34+1,FALSE)</f>
        <v>1.2999999999999998</v>
      </c>
      <c r="H5" s="86" t="s">
        <v>197</v>
      </c>
      <c r="I5" s="76">
        <f>0.2*Tsp</f>
        <v>0.14615384615384616</v>
      </c>
      <c r="J5" s="17"/>
      <c r="K5" s="17"/>
      <c r="L5" s="17"/>
      <c r="N5" s="84" t="s">
        <v>229</v>
      </c>
      <c r="O5" s="84"/>
      <c r="P5" s="84"/>
      <c r="Q5" s="84"/>
      <c r="R5" s="84"/>
      <c r="S5" s="84"/>
    </row>
    <row r="6" spans="1:24" ht="15" thickBot="1" x14ac:dyDescent="0.25">
      <c r="A6" s="79" t="s">
        <v>230</v>
      </c>
      <c r="B6" s="80">
        <v>0.6</v>
      </c>
      <c r="E6" s="85" t="s">
        <v>196</v>
      </c>
      <c r="F6" s="80">
        <f>VLOOKUP($D$3,$N$8:$X$13,$X$34-$N$34+1,FALSE)</f>
        <v>1.2999999999999998</v>
      </c>
      <c r="H6" s="95" t="s">
        <v>231</v>
      </c>
      <c r="I6" s="80">
        <f>Fvp*S_1/(Fap*Ss)</f>
        <v>0.73076923076923084</v>
      </c>
      <c r="J6" s="17"/>
      <c r="K6" s="17"/>
      <c r="L6" s="17"/>
      <c r="N6" s="89" t="s">
        <v>198</v>
      </c>
      <c r="O6" s="90" t="s">
        <v>199</v>
      </c>
      <c r="P6" s="91"/>
      <c r="Q6" s="91"/>
      <c r="R6" s="91"/>
      <c r="S6" s="92"/>
    </row>
    <row r="7" spans="1:24" ht="15.75" thickBot="1" x14ac:dyDescent="0.3">
      <c r="A7" s="79" t="s">
        <v>232</v>
      </c>
      <c r="B7" s="80">
        <v>0.3</v>
      </c>
      <c r="E7" s="155" t="s">
        <v>200</v>
      </c>
      <c r="F7" s="107">
        <f>VLOOKUP($D$3,$N$28:$X$33,$X$34-$N$34+1,FALSE)</f>
        <v>1.9</v>
      </c>
      <c r="H7" s="108"/>
      <c r="I7" s="107"/>
      <c r="J7" s="17"/>
      <c r="K7" s="17"/>
      <c r="L7" s="17"/>
      <c r="N7" s="99"/>
      <c r="O7" s="100">
        <v>0.1</v>
      </c>
      <c r="P7" s="100">
        <v>0.2</v>
      </c>
      <c r="Q7" s="100">
        <v>0.3</v>
      </c>
      <c r="R7" s="101">
        <v>0.4</v>
      </c>
      <c r="S7" s="102">
        <v>0.5</v>
      </c>
      <c r="T7" s="103">
        <v>1</v>
      </c>
      <c r="U7" s="104">
        <f>PGA</f>
        <v>0.25</v>
      </c>
      <c r="V7" s="104">
        <f>HLOOKUP($U$7,$O$7:$S$13,T7)</f>
        <v>0.2</v>
      </c>
      <c r="W7" s="104">
        <f>IF(V7=U7,U7,V7+0.1)</f>
        <v>0.30000000000000004</v>
      </c>
      <c r="X7" s="105">
        <f>U7</f>
        <v>0.25</v>
      </c>
    </row>
    <row r="8" spans="1:24" ht="15" thickBot="1" x14ac:dyDescent="0.25">
      <c r="A8" s="106"/>
      <c r="B8" s="107"/>
      <c r="J8" s="17"/>
      <c r="K8" s="17"/>
      <c r="L8" s="17"/>
      <c r="N8" s="110" t="s">
        <v>179</v>
      </c>
      <c r="O8" s="111">
        <v>0.8</v>
      </c>
      <c r="P8" s="111">
        <v>0.8</v>
      </c>
      <c r="Q8" s="111">
        <v>0.8</v>
      </c>
      <c r="R8" s="111">
        <v>0.8</v>
      </c>
      <c r="S8" s="112">
        <v>0.8</v>
      </c>
      <c r="T8" s="113">
        <v>2</v>
      </c>
      <c r="U8" s="17" t="e">
        <f t="shared" ref="U8:U13" si="0">HLOOKUP($U$7,$O$7:$S$13,T8,FALSE)</f>
        <v>#N/A</v>
      </c>
      <c r="V8" s="17">
        <f t="shared" ref="V8:V13" si="1">IFERROR(U8,HLOOKUP($U$7,$O$7:$S$13,T8))</f>
        <v>0.8</v>
      </c>
      <c r="W8" s="17">
        <f>IFERROR(HLOOKUP($W$7,$O$7:$S$13,T8,FALSE),Q8)</f>
        <v>0.8</v>
      </c>
      <c r="X8" s="114">
        <f>AVERAGE(V8:W8)</f>
        <v>0.8</v>
      </c>
    </row>
    <row r="9" spans="1:24" ht="15" thickBot="1" x14ac:dyDescent="0.25">
      <c r="L9" s="109"/>
      <c r="N9" s="115" t="s">
        <v>60</v>
      </c>
      <c r="O9" s="116">
        <v>1</v>
      </c>
      <c r="P9" s="116">
        <v>1</v>
      </c>
      <c r="Q9" s="116">
        <v>1</v>
      </c>
      <c r="R9" s="116">
        <v>1</v>
      </c>
      <c r="S9" s="22">
        <v>1</v>
      </c>
      <c r="T9" s="103">
        <v>3</v>
      </c>
      <c r="U9" s="17" t="e">
        <f t="shared" si="0"/>
        <v>#N/A</v>
      </c>
      <c r="V9" s="17">
        <f t="shared" si="1"/>
        <v>1</v>
      </c>
      <c r="W9" s="17">
        <f t="shared" ref="W9:W13" si="2">IFERROR(HLOOKUP($W$7,$O$7:$S$13,T9,FALSE),Q9)</f>
        <v>1</v>
      </c>
      <c r="X9" s="114">
        <f t="shared" ref="X9:X12" si="3">AVERAGE(V9:W9)</f>
        <v>1</v>
      </c>
    </row>
    <row r="10" spans="1:24" ht="19.5" thickBot="1" x14ac:dyDescent="0.4">
      <c r="A10" s="117" t="s">
        <v>204</v>
      </c>
      <c r="B10" s="118" t="s">
        <v>205</v>
      </c>
      <c r="C10" s="119" t="s">
        <v>206</v>
      </c>
      <c r="D10" s="119" t="s">
        <v>207</v>
      </c>
      <c r="N10" s="115" t="s">
        <v>63</v>
      </c>
      <c r="O10" s="116">
        <v>1.2</v>
      </c>
      <c r="P10" s="116">
        <v>1.2</v>
      </c>
      <c r="Q10" s="116">
        <v>1.1000000000000001</v>
      </c>
      <c r="R10" s="116">
        <v>1</v>
      </c>
      <c r="S10" s="22">
        <v>1</v>
      </c>
      <c r="T10" s="113">
        <v>4</v>
      </c>
      <c r="U10" s="17" t="e">
        <f t="shared" si="0"/>
        <v>#N/A</v>
      </c>
      <c r="V10" s="17">
        <f t="shared" si="1"/>
        <v>1.2</v>
      </c>
      <c r="W10" s="17">
        <f t="shared" si="2"/>
        <v>1.1000000000000001</v>
      </c>
      <c r="X10" s="114">
        <f t="shared" si="3"/>
        <v>1.1499999999999999</v>
      </c>
    </row>
    <row r="11" spans="1:24" x14ac:dyDescent="0.2">
      <c r="A11" s="120">
        <v>0</v>
      </c>
      <c r="B11" s="121">
        <f t="shared" ref="B11:B42" si="4">IF(T=0,PGA*Fpga,IF(AND(T&gt;=0,T&lt;=Top),PGA*Fpga+(Fap*Ss-PGA*Fpga)*T/Top,IF(AND(T&gt;=Top,T&lt;=Tsp),Fap*Ss,Fvp*S_1/T)))</f>
        <v>0.32499999999999996</v>
      </c>
      <c r="C11" s="122">
        <f t="shared" ref="C11:C42" si="5">IF(T&gt;Top,Rsis,(Rsis-1)*T/Top+1)</f>
        <v>1</v>
      </c>
      <c r="D11" s="122">
        <f>B11/C11</f>
        <v>0.32499999999999996</v>
      </c>
      <c r="N11" s="115" t="s">
        <v>65</v>
      </c>
      <c r="O11" s="116">
        <v>1.6</v>
      </c>
      <c r="P11" s="116">
        <v>1.4</v>
      </c>
      <c r="Q11" s="116">
        <v>1.2</v>
      </c>
      <c r="R11" s="116">
        <v>1.1000000000000001</v>
      </c>
      <c r="S11" s="22">
        <v>1</v>
      </c>
      <c r="T11" s="103">
        <v>5</v>
      </c>
      <c r="U11" s="17" t="e">
        <f t="shared" si="0"/>
        <v>#N/A</v>
      </c>
      <c r="V11" s="17">
        <f t="shared" si="1"/>
        <v>1.4</v>
      </c>
      <c r="W11" s="17">
        <f t="shared" si="2"/>
        <v>1.2</v>
      </c>
      <c r="X11" s="114">
        <f t="shared" si="3"/>
        <v>1.2999999999999998</v>
      </c>
    </row>
    <row r="12" spans="1:24" x14ac:dyDescent="0.2">
      <c r="A12" s="123">
        <f t="shared" ref="A12:A63" si="6">IF(A11=0,$I$5,IF(A11=$I$5,$I$6,IF(A11=$I$6,TRUNC($I$6+0.1,1),A11+0.1)))</f>
        <v>0.14615384615384616</v>
      </c>
      <c r="B12" s="124">
        <f t="shared" si="4"/>
        <v>0.78</v>
      </c>
      <c r="C12" s="125">
        <f t="shared" si="5"/>
        <v>1.5</v>
      </c>
      <c r="D12" s="125">
        <f t="shared" ref="D12:D63" si="7">B12/C12</f>
        <v>0.52</v>
      </c>
      <c r="N12" s="115" t="s">
        <v>208</v>
      </c>
      <c r="O12" s="116">
        <v>2.5</v>
      </c>
      <c r="P12" s="116">
        <v>1.7</v>
      </c>
      <c r="Q12" s="116">
        <v>1.2</v>
      </c>
      <c r="R12" s="116">
        <v>0.9</v>
      </c>
      <c r="S12" s="22">
        <v>0.9</v>
      </c>
      <c r="T12" s="113">
        <v>6</v>
      </c>
      <c r="U12" s="17" t="e">
        <f t="shared" si="0"/>
        <v>#N/A</v>
      </c>
      <c r="V12" s="17">
        <f t="shared" si="1"/>
        <v>1.7</v>
      </c>
      <c r="W12" s="17">
        <f t="shared" si="2"/>
        <v>1.2</v>
      </c>
      <c r="X12" s="114">
        <f t="shared" si="3"/>
        <v>1.45</v>
      </c>
    </row>
    <row r="13" spans="1:24" ht="15" thickBot="1" x14ac:dyDescent="0.25">
      <c r="A13" s="123">
        <f t="shared" si="6"/>
        <v>0.73076923076923084</v>
      </c>
      <c r="B13" s="124">
        <f t="shared" si="4"/>
        <v>0.77999999999999992</v>
      </c>
      <c r="C13" s="125">
        <f t="shared" si="5"/>
        <v>1.5</v>
      </c>
      <c r="D13" s="125">
        <f t="shared" si="7"/>
        <v>0.51999999999999991</v>
      </c>
      <c r="N13" s="126" t="s">
        <v>209</v>
      </c>
      <c r="O13" s="127" t="str">
        <f>IF($L$6=0,"est Geotecnico",$L$6)</f>
        <v>est Geotecnico</v>
      </c>
      <c r="P13" s="127" t="str">
        <f>IF($L$6=0,"est Geotecnico",$L$6)</f>
        <v>est Geotecnico</v>
      </c>
      <c r="Q13" s="127" t="str">
        <f>IF($L$6=0,"est Geotecnico",$L$6)</f>
        <v>est Geotecnico</v>
      </c>
      <c r="R13" s="127" t="str">
        <f>IF($L$6=0,"est Geotecnico",$L$6)</f>
        <v>est Geotecnico</v>
      </c>
      <c r="S13" s="128" t="str">
        <f>IF($L$6=0,"est Geotecnico",$L$6)</f>
        <v>est Geotecnico</v>
      </c>
      <c r="T13" s="103">
        <v>7</v>
      </c>
      <c r="U13" s="17" t="e">
        <f t="shared" si="0"/>
        <v>#N/A</v>
      </c>
      <c r="V13" s="17" t="str">
        <f t="shared" si="1"/>
        <v>est Geotecnico</v>
      </c>
      <c r="W13" s="17" t="str">
        <f t="shared" si="2"/>
        <v>est Geotecnico</v>
      </c>
      <c r="X13" s="129" t="str">
        <f>W13</f>
        <v>est Geotecnico</v>
      </c>
    </row>
    <row r="14" spans="1:24" x14ac:dyDescent="0.2">
      <c r="A14" s="123">
        <f t="shared" si="6"/>
        <v>0.8</v>
      </c>
      <c r="B14" s="124">
        <f t="shared" si="4"/>
        <v>0.71249999999999991</v>
      </c>
      <c r="C14" s="125">
        <f t="shared" si="5"/>
        <v>1.5</v>
      </c>
      <c r="D14" s="125">
        <f t="shared" si="7"/>
        <v>0.47499999999999992</v>
      </c>
    </row>
    <row r="15" spans="1:24" ht="15" thickBot="1" x14ac:dyDescent="0.25">
      <c r="A15" s="123">
        <f t="shared" si="6"/>
        <v>0.9</v>
      </c>
      <c r="B15" s="124">
        <f t="shared" si="4"/>
        <v>0.6333333333333333</v>
      </c>
      <c r="C15" s="125">
        <f t="shared" si="5"/>
        <v>1.5</v>
      </c>
      <c r="D15" s="125">
        <f t="shared" si="7"/>
        <v>0.42222222222222222</v>
      </c>
      <c r="N15" s="84" t="s">
        <v>195</v>
      </c>
      <c r="O15" s="84"/>
      <c r="P15" s="84"/>
      <c r="Q15" s="84"/>
      <c r="R15" s="84"/>
      <c r="S15" s="84"/>
    </row>
    <row r="16" spans="1:24" ht="15" customHeight="1" thickBot="1" x14ac:dyDescent="0.25">
      <c r="A16" s="123">
        <f t="shared" si="6"/>
        <v>1</v>
      </c>
      <c r="B16" s="124">
        <f t="shared" si="4"/>
        <v>0.56999999999999995</v>
      </c>
      <c r="C16" s="125">
        <f t="shared" si="5"/>
        <v>1.5</v>
      </c>
      <c r="D16" s="125">
        <f t="shared" si="7"/>
        <v>0.37999999999999995</v>
      </c>
      <c r="N16" s="89" t="s">
        <v>198</v>
      </c>
      <c r="O16" s="90" t="s">
        <v>199</v>
      </c>
      <c r="P16" s="91"/>
      <c r="Q16" s="91"/>
      <c r="R16" s="91"/>
      <c r="S16" s="92"/>
    </row>
    <row r="17" spans="1:24" ht="15.75" thickBot="1" x14ac:dyDescent="0.3">
      <c r="A17" s="123">
        <f t="shared" si="6"/>
        <v>1.1000000000000001</v>
      </c>
      <c r="B17" s="124">
        <f t="shared" si="4"/>
        <v>0.51818181818181808</v>
      </c>
      <c r="C17" s="125">
        <f t="shared" si="5"/>
        <v>1.5</v>
      </c>
      <c r="D17" s="125">
        <f t="shared" si="7"/>
        <v>0.3454545454545454</v>
      </c>
      <c r="N17" s="99"/>
      <c r="O17" s="100">
        <v>0.25</v>
      </c>
      <c r="P17" s="100">
        <v>0.5</v>
      </c>
      <c r="Q17" s="100">
        <v>0.75</v>
      </c>
      <c r="R17" s="101">
        <v>1</v>
      </c>
      <c r="S17" s="102">
        <v>1.25</v>
      </c>
      <c r="T17" s="103">
        <v>1</v>
      </c>
      <c r="U17" s="104">
        <f>Ss</f>
        <v>0.6</v>
      </c>
      <c r="V17" s="104">
        <f>HLOOKUP($U$7,$O$7:$S$13,T17)</f>
        <v>0.2</v>
      </c>
      <c r="W17" s="104">
        <f>IF(V17=U17,U17,V17+0.1)</f>
        <v>0.30000000000000004</v>
      </c>
      <c r="X17" s="105">
        <f>U17</f>
        <v>0.6</v>
      </c>
    </row>
    <row r="18" spans="1:24" x14ac:dyDescent="0.2">
      <c r="A18" s="123">
        <f t="shared" si="6"/>
        <v>1.2000000000000002</v>
      </c>
      <c r="B18" s="124">
        <f t="shared" si="4"/>
        <v>0.47499999999999987</v>
      </c>
      <c r="C18" s="125">
        <f t="shared" si="5"/>
        <v>1.5</v>
      </c>
      <c r="D18" s="125">
        <f t="shared" si="7"/>
        <v>0.3166666666666666</v>
      </c>
      <c r="N18" s="110" t="s">
        <v>179</v>
      </c>
      <c r="O18" s="111">
        <v>0.8</v>
      </c>
      <c r="P18" s="111">
        <v>0.8</v>
      </c>
      <c r="Q18" s="111">
        <v>0.8</v>
      </c>
      <c r="R18" s="111">
        <v>0.8</v>
      </c>
      <c r="S18" s="112">
        <v>0.8</v>
      </c>
      <c r="T18" s="113">
        <v>2</v>
      </c>
      <c r="U18" s="17" t="e">
        <f t="shared" ref="U18:U23" si="8">HLOOKUP($U$7,$O$7:$S$13,T18,FALSE)</f>
        <v>#N/A</v>
      </c>
      <c r="V18" s="17">
        <f t="shared" ref="V18:V23" si="9">IFERROR(U18,HLOOKUP($U$7,$O$7:$S$13,T18))</f>
        <v>0.8</v>
      </c>
      <c r="W18" s="17">
        <f>IFERROR(HLOOKUP($W$7,$O$7:$S$13,T18,FALSE),Q18)</f>
        <v>0.8</v>
      </c>
      <c r="X18" s="114">
        <f>AVERAGE(V18:W18)</f>
        <v>0.8</v>
      </c>
    </row>
    <row r="19" spans="1:24" x14ac:dyDescent="0.2">
      <c r="A19" s="123">
        <f t="shared" si="6"/>
        <v>1.3000000000000003</v>
      </c>
      <c r="B19" s="124">
        <f t="shared" si="4"/>
        <v>0.43846153846153835</v>
      </c>
      <c r="C19" s="125">
        <f t="shared" si="5"/>
        <v>1.5</v>
      </c>
      <c r="D19" s="125">
        <f t="shared" si="7"/>
        <v>0.29230769230769221</v>
      </c>
      <c r="N19" s="115" t="s">
        <v>60</v>
      </c>
      <c r="O19" s="116">
        <v>1</v>
      </c>
      <c r="P19" s="116">
        <v>1</v>
      </c>
      <c r="Q19" s="116">
        <v>1</v>
      </c>
      <c r="R19" s="116">
        <v>1</v>
      </c>
      <c r="S19" s="22">
        <v>1</v>
      </c>
      <c r="T19" s="103">
        <v>3</v>
      </c>
      <c r="U19" s="17" t="e">
        <f t="shared" si="8"/>
        <v>#N/A</v>
      </c>
      <c r="V19" s="17">
        <f t="shared" si="9"/>
        <v>1</v>
      </c>
      <c r="W19" s="17">
        <f t="shared" ref="W19:W23" si="10">IFERROR(HLOOKUP($W$7,$O$7:$S$13,T19,FALSE),Q19)</f>
        <v>1</v>
      </c>
      <c r="X19" s="114">
        <f t="shared" ref="X19:X22" si="11">AVERAGE(V19:W19)</f>
        <v>1</v>
      </c>
    </row>
    <row r="20" spans="1:24" x14ac:dyDescent="0.2">
      <c r="A20" s="123">
        <f t="shared" si="6"/>
        <v>1.4000000000000004</v>
      </c>
      <c r="B20" s="124">
        <f t="shared" si="4"/>
        <v>0.40714285714285703</v>
      </c>
      <c r="C20" s="125">
        <f t="shared" si="5"/>
        <v>1.5</v>
      </c>
      <c r="D20" s="125">
        <f t="shared" si="7"/>
        <v>0.27142857142857135</v>
      </c>
      <c r="N20" s="115" t="s">
        <v>63</v>
      </c>
      <c r="O20" s="116">
        <v>1.2</v>
      </c>
      <c r="P20" s="116">
        <v>1.2</v>
      </c>
      <c r="Q20" s="116">
        <v>1.1000000000000001</v>
      </c>
      <c r="R20" s="116">
        <v>1</v>
      </c>
      <c r="S20" s="22">
        <v>1</v>
      </c>
      <c r="T20" s="113">
        <v>4</v>
      </c>
      <c r="U20" s="17" t="e">
        <f t="shared" si="8"/>
        <v>#N/A</v>
      </c>
      <c r="V20" s="17">
        <f t="shared" si="9"/>
        <v>1.2</v>
      </c>
      <c r="W20" s="17">
        <f t="shared" si="10"/>
        <v>1.1000000000000001</v>
      </c>
      <c r="X20" s="114">
        <f t="shared" si="11"/>
        <v>1.1499999999999999</v>
      </c>
    </row>
    <row r="21" spans="1:24" x14ac:dyDescent="0.2">
      <c r="A21" s="123">
        <f t="shared" si="6"/>
        <v>1.5000000000000004</v>
      </c>
      <c r="B21" s="124">
        <f t="shared" si="4"/>
        <v>0.37999999999999984</v>
      </c>
      <c r="C21" s="125">
        <f t="shared" si="5"/>
        <v>1.5</v>
      </c>
      <c r="D21" s="125">
        <f t="shared" si="7"/>
        <v>0.25333333333333324</v>
      </c>
      <c r="N21" s="115" t="s">
        <v>65</v>
      </c>
      <c r="O21" s="116">
        <v>1.6</v>
      </c>
      <c r="P21" s="116">
        <v>1.4</v>
      </c>
      <c r="Q21" s="116">
        <v>1.2</v>
      </c>
      <c r="R21" s="116">
        <v>1.1000000000000001</v>
      </c>
      <c r="S21" s="22">
        <v>1</v>
      </c>
      <c r="T21" s="103">
        <v>5</v>
      </c>
      <c r="U21" s="17" t="e">
        <f t="shared" si="8"/>
        <v>#N/A</v>
      </c>
      <c r="V21" s="17">
        <f t="shared" si="9"/>
        <v>1.4</v>
      </c>
      <c r="W21" s="17">
        <f t="shared" si="10"/>
        <v>1.2</v>
      </c>
      <c r="X21" s="114">
        <f t="shared" si="11"/>
        <v>1.2999999999999998</v>
      </c>
    </row>
    <row r="22" spans="1:24" x14ac:dyDescent="0.2">
      <c r="A22" s="123">
        <f t="shared" si="6"/>
        <v>1.6000000000000005</v>
      </c>
      <c r="B22" s="124">
        <f t="shared" si="4"/>
        <v>0.35624999999999984</v>
      </c>
      <c r="C22" s="125">
        <f t="shared" si="5"/>
        <v>1.5</v>
      </c>
      <c r="D22" s="125">
        <f t="shared" si="7"/>
        <v>0.23749999999999991</v>
      </c>
      <c r="N22" s="115" t="s">
        <v>208</v>
      </c>
      <c r="O22" s="116">
        <v>2.5</v>
      </c>
      <c r="P22" s="116">
        <v>1.7</v>
      </c>
      <c r="Q22" s="116">
        <v>1.2</v>
      </c>
      <c r="R22" s="116">
        <v>0.9</v>
      </c>
      <c r="S22" s="22">
        <v>0.9</v>
      </c>
      <c r="T22" s="113">
        <v>6</v>
      </c>
      <c r="U22" s="17" t="e">
        <f t="shared" si="8"/>
        <v>#N/A</v>
      </c>
      <c r="V22" s="17">
        <f t="shared" si="9"/>
        <v>1.7</v>
      </c>
      <c r="W22" s="17">
        <f t="shared" si="10"/>
        <v>1.2</v>
      </c>
      <c r="X22" s="114">
        <f t="shared" si="11"/>
        <v>1.45</v>
      </c>
    </row>
    <row r="23" spans="1:24" ht="15" thickBot="1" x14ac:dyDescent="0.25">
      <c r="A23" s="123">
        <f t="shared" si="6"/>
        <v>1.7000000000000006</v>
      </c>
      <c r="B23" s="124">
        <f t="shared" si="4"/>
        <v>0.33529411764705869</v>
      </c>
      <c r="C23" s="125">
        <f t="shared" si="5"/>
        <v>1.5</v>
      </c>
      <c r="D23" s="125">
        <f t="shared" si="7"/>
        <v>0.22352941176470578</v>
      </c>
      <c r="N23" s="126" t="s">
        <v>209</v>
      </c>
      <c r="O23" s="127" t="str">
        <f>IF($L$6=0,"est Geotecnico",$L$6)</f>
        <v>est Geotecnico</v>
      </c>
      <c r="P23" s="127" t="str">
        <f>IF($L$6=0,"est Geotecnico",$L$6)</f>
        <v>est Geotecnico</v>
      </c>
      <c r="Q23" s="127" t="str">
        <f>IF($L$6=0,"est Geotecnico",$L$6)</f>
        <v>est Geotecnico</v>
      </c>
      <c r="R23" s="127" t="str">
        <f>IF($L$6=0,"est Geotecnico",$L$6)</f>
        <v>est Geotecnico</v>
      </c>
      <c r="S23" s="128" t="str">
        <f>IF($L$6=0,"est Geotecnico",$L$6)</f>
        <v>est Geotecnico</v>
      </c>
      <c r="T23" s="103">
        <v>7</v>
      </c>
      <c r="U23" s="17" t="e">
        <f t="shared" si="8"/>
        <v>#N/A</v>
      </c>
      <c r="V23" s="17" t="str">
        <f t="shared" si="9"/>
        <v>est Geotecnico</v>
      </c>
      <c r="W23" s="17" t="str">
        <f t="shared" si="10"/>
        <v>est Geotecnico</v>
      </c>
      <c r="X23" s="129" t="str">
        <f>W23</f>
        <v>est Geotecnico</v>
      </c>
    </row>
    <row r="24" spans="1:24" x14ac:dyDescent="0.2">
      <c r="A24" s="123">
        <f t="shared" si="6"/>
        <v>1.8000000000000007</v>
      </c>
      <c r="B24" s="124">
        <f t="shared" si="4"/>
        <v>0.31666666666666654</v>
      </c>
      <c r="C24" s="125">
        <f t="shared" si="5"/>
        <v>1.5</v>
      </c>
      <c r="D24" s="125">
        <f t="shared" si="7"/>
        <v>0.21111111111111103</v>
      </c>
    </row>
    <row r="25" spans="1:24" ht="15" thickBot="1" x14ac:dyDescent="0.25">
      <c r="A25" s="123">
        <f t="shared" si="6"/>
        <v>1.9000000000000008</v>
      </c>
      <c r="B25" s="124">
        <f t="shared" si="4"/>
        <v>0.29999999999999982</v>
      </c>
      <c r="C25" s="125">
        <f t="shared" si="5"/>
        <v>1.5</v>
      </c>
      <c r="D25" s="125">
        <f t="shared" si="7"/>
        <v>0.19999999999999987</v>
      </c>
      <c r="N25" s="84" t="s">
        <v>210</v>
      </c>
      <c r="O25" s="84"/>
      <c r="P25" s="84"/>
      <c r="Q25" s="84"/>
      <c r="R25" s="84"/>
      <c r="S25" s="84"/>
    </row>
    <row r="26" spans="1:24" ht="15" thickBot="1" x14ac:dyDescent="0.25">
      <c r="A26" s="123">
        <f t="shared" si="6"/>
        <v>2.0000000000000009</v>
      </c>
      <c r="B26" s="124">
        <f t="shared" si="4"/>
        <v>0.28499999999999986</v>
      </c>
      <c r="C26" s="125">
        <f t="shared" si="5"/>
        <v>1.5</v>
      </c>
      <c r="D26" s="125">
        <f t="shared" si="7"/>
        <v>0.18999999999999992</v>
      </c>
      <c r="N26" s="89" t="s">
        <v>198</v>
      </c>
      <c r="O26" s="90" t="s">
        <v>211</v>
      </c>
      <c r="P26" s="91"/>
      <c r="Q26" s="91"/>
      <c r="R26" s="91"/>
      <c r="S26" s="92"/>
    </row>
    <row r="27" spans="1:24" ht="15.75" thickBot="1" x14ac:dyDescent="0.3">
      <c r="A27" s="123">
        <f t="shared" si="6"/>
        <v>2.100000000000001</v>
      </c>
      <c r="B27" s="124">
        <f t="shared" si="4"/>
        <v>0.2714285714285713</v>
      </c>
      <c r="C27" s="125">
        <f t="shared" si="5"/>
        <v>1.5</v>
      </c>
      <c r="D27" s="125">
        <f t="shared" si="7"/>
        <v>0.18095238095238086</v>
      </c>
      <c r="N27" s="99"/>
      <c r="O27" s="100">
        <v>0.1</v>
      </c>
      <c r="P27" s="100">
        <v>0.2</v>
      </c>
      <c r="Q27" s="100">
        <v>0.3</v>
      </c>
      <c r="R27" s="101">
        <v>0.4</v>
      </c>
      <c r="S27" s="102">
        <v>0.5</v>
      </c>
      <c r="T27" s="103">
        <v>1</v>
      </c>
      <c r="U27" s="104">
        <f>S_1</f>
        <v>0.3</v>
      </c>
      <c r="V27" s="104">
        <f>HLOOKUP($U$7,$O$7:$S$13,T27)</f>
        <v>0.2</v>
      </c>
      <c r="W27" s="104">
        <f>IF(V27=U27,U27,V27+0.1)</f>
        <v>0.30000000000000004</v>
      </c>
      <c r="X27" s="105">
        <f>U27</f>
        <v>0.3</v>
      </c>
    </row>
    <row r="28" spans="1:24" x14ac:dyDescent="0.2">
      <c r="A28" s="123">
        <f t="shared" si="6"/>
        <v>2.2000000000000011</v>
      </c>
      <c r="B28" s="124">
        <f t="shared" si="4"/>
        <v>0.25909090909090893</v>
      </c>
      <c r="C28" s="125">
        <f t="shared" si="5"/>
        <v>1.5</v>
      </c>
      <c r="D28" s="125">
        <f t="shared" si="7"/>
        <v>0.17272727272727262</v>
      </c>
      <c r="N28" s="110" t="s">
        <v>179</v>
      </c>
      <c r="O28" s="111">
        <v>0.8</v>
      </c>
      <c r="P28" s="111">
        <v>0.8</v>
      </c>
      <c r="Q28" s="111">
        <v>0.8</v>
      </c>
      <c r="R28" s="111">
        <v>0.8</v>
      </c>
      <c r="S28" s="112">
        <v>0.8</v>
      </c>
      <c r="T28" s="113">
        <v>2</v>
      </c>
      <c r="U28" s="17" t="e">
        <f t="shared" ref="U28:U33" si="12">HLOOKUP($U$7,$O$27:$S$33,T28,FALSE)</f>
        <v>#N/A</v>
      </c>
      <c r="V28" s="17">
        <f t="shared" ref="V28:V33" si="13">IFERROR(U28,HLOOKUP($U$7,$O$27:$S$33,T28))</f>
        <v>0.8</v>
      </c>
      <c r="W28" s="17">
        <f t="shared" ref="W28:W33" si="14">IFERROR(HLOOKUP($W$7,$O$27:$S$33,T28,FALSE),Q28)</f>
        <v>0.8</v>
      </c>
      <c r="X28" s="114">
        <f>AVERAGE(V28:W28)</f>
        <v>0.8</v>
      </c>
    </row>
    <row r="29" spans="1:24" x14ac:dyDescent="0.2">
      <c r="A29" s="123">
        <f t="shared" si="6"/>
        <v>2.3000000000000012</v>
      </c>
      <c r="B29" s="124">
        <f t="shared" si="4"/>
        <v>0.24782608695652159</v>
      </c>
      <c r="C29" s="125">
        <f t="shared" si="5"/>
        <v>1.5</v>
      </c>
      <c r="D29" s="125">
        <f t="shared" si="7"/>
        <v>0.16521739130434773</v>
      </c>
      <c r="N29" s="115" t="s">
        <v>60</v>
      </c>
      <c r="O29" s="116">
        <v>1</v>
      </c>
      <c r="P29" s="116">
        <v>1</v>
      </c>
      <c r="Q29" s="116">
        <v>1</v>
      </c>
      <c r="R29" s="116">
        <v>1</v>
      </c>
      <c r="S29" s="22">
        <v>1</v>
      </c>
      <c r="T29" s="103">
        <v>3</v>
      </c>
      <c r="U29" s="17" t="e">
        <f t="shared" si="12"/>
        <v>#N/A</v>
      </c>
      <c r="V29" s="17">
        <f t="shared" si="13"/>
        <v>1</v>
      </c>
      <c r="W29" s="17">
        <f t="shared" si="14"/>
        <v>1</v>
      </c>
      <c r="X29" s="114">
        <f>AVERAGE(V29:W29)</f>
        <v>1</v>
      </c>
    </row>
    <row r="30" spans="1:24" x14ac:dyDescent="0.2">
      <c r="A30" s="123">
        <f t="shared" si="6"/>
        <v>2.4000000000000012</v>
      </c>
      <c r="B30" s="124">
        <f t="shared" si="4"/>
        <v>0.23749999999999985</v>
      </c>
      <c r="C30" s="125">
        <f t="shared" si="5"/>
        <v>1.5</v>
      </c>
      <c r="D30" s="125">
        <f t="shared" si="7"/>
        <v>0.15833333333333324</v>
      </c>
      <c r="N30" s="115" t="s">
        <v>63</v>
      </c>
      <c r="O30" s="116">
        <v>1.7</v>
      </c>
      <c r="P30" s="116">
        <v>1.6</v>
      </c>
      <c r="Q30" s="116">
        <v>1.5</v>
      </c>
      <c r="R30" s="116">
        <v>1.4</v>
      </c>
      <c r="S30" s="22">
        <v>1.3</v>
      </c>
      <c r="T30" s="113">
        <v>4</v>
      </c>
      <c r="U30" s="17" t="e">
        <f t="shared" si="12"/>
        <v>#N/A</v>
      </c>
      <c r="V30" s="17">
        <f t="shared" si="13"/>
        <v>1.6</v>
      </c>
      <c r="W30" s="17">
        <f t="shared" si="14"/>
        <v>1.5</v>
      </c>
      <c r="X30" s="114">
        <f>AVERAGE(V30:W30)</f>
        <v>1.55</v>
      </c>
    </row>
    <row r="31" spans="1:24" x14ac:dyDescent="0.2">
      <c r="A31" s="123">
        <f t="shared" si="6"/>
        <v>2.5000000000000013</v>
      </c>
      <c r="B31" s="124">
        <f t="shared" si="4"/>
        <v>0.22799999999999987</v>
      </c>
      <c r="C31" s="125">
        <f t="shared" si="5"/>
        <v>1.5</v>
      </c>
      <c r="D31" s="125">
        <f t="shared" si="7"/>
        <v>0.15199999999999991</v>
      </c>
      <c r="N31" s="115" t="s">
        <v>65</v>
      </c>
      <c r="O31" s="116">
        <v>2.4</v>
      </c>
      <c r="P31" s="116">
        <v>2</v>
      </c>
      <c r="Q31" s="116">
        <v>1.8</v>
      </c>
      <c r="R31" s="116">
        <v>1.6</v>
      </c>
      <c r="S31" s="22">
        <v>1.5</v>
      </c>
      <c r="T31" s="103">
        <v>5</v>
      </c>
      <c r="U31" s="17" t="e">
        <f t="shared" si="12"/>
        <v>#N/A</v>
      </c>
      <c r="V31" s="17">
        <f t="shared" si="13"/>
        <v>2</v>
      </c>
      <c r="W31" s="17">
        <f t="shared" si="14"/>
        <v>1.8</v>
      </c>
      <c r="X31" s="114">
        <f>AVERAGE(V31:W31)</f>
        <v>1.9</v>
      </c>
    </row>
    <row r="32" spans="1:24" x14ac:dyDescent="0.2">
      <c r="A32" s="123">
        <f t="shared" si="6"/>
        <v>2.6000000000000014</v>
      </c>
      <c r="B32" s="124">
        <f t="shared" si="4"/>
        <v>0.21923076923076909</v>
      </c>
      <c r="C32" s="125">
        <f t="shared" si="5"/>
        <v>1.5</v>
      </c>
      <c r="D32" s="125">
        <f t="shared" si="7"/>
        <v>0.14615384615384605</v>
      </c>
      <c r="N32" s="115" t="s">
        <v>208</v>
      </c>
      <c r="O32" s="116">
        <v>3.5</v>
      </c>
      <c r="P32" s="116">
        <v>3.2</v>
      </c>
      <c r="Q32" s="116">
        <v>2.8</v>
      </c>
      <c r="R32" s="116">
        <v>2.4</v>
      </c>
      <c r="S32" s="22">
        <v>2.4</v>
      </c>
      <c r="T32" s="113">
        <v>6</v>
      </c>
      <c r="U32" s="17" t="e">
        <f t="shared" si="12"/>
        <v>#N/A</v>
      </c>
      <c r="V32" s="17">
        <f t="shared" si="13"/>
        <v>3.2</v>
      </c>
      <c r="W32" s="17">
        <f t="shared" si="14"/>
        <v>2.8</v>
      </c>
      <c r="X32" s="114">
        <f>AVERAGE(V32:W32)</f>
        <v>3</v>
      </c>
    </row>
    <row r="33" spans="1:24" ht="15" thickBot="1" x14ac:dyDescent="0.25">
      <c r="A33" s="123">
        <f t="shared" si="6"/>
        <v>2.7000000000000015</v>
      </c>
      <c r="B33" s="124">
        <f t="shared" si="4"/>
        <v>0.21111111111111097</v>
      </c>
      <c r="C33" s="125">
        <f t="shared" si="5"/>
        <v>1.5</v>
      </c>
      <c r="D33" s="125">
        <f t="shared" si="7"/>
        <v>0.14074074074074064</v>
      </c>
      <c r="N33" s="126" t="s">
        <v>209</v>
      </c>
      <c r="O33" s="127" t="str">
        <f>IF($L$7=0,"est Geotecnico",$L$7)</f>
        <v>est Geotecnico</v>
      </c>
      <c r="P33" s="127" t="str">
        <f>IF($L$7=0,"est Geotecnico",$L$7)</f>
        <v>est Geotecnico</v>
      </c>
      <c r="Q33" s="127" t="str">
        <f>IF($L$7=0,"est Geotecnico",$L$7)</f>
        <v>est Geotecnico</v>
      </c>
      <c r="R33" s="127" t="str">
        <f>IF($L$7=0,"est Geotecnico",$L$7)</f>
        <v>est Geotecnico</v>
      </c>
      <c r="S33" s="128" t="str">
        <f>IF($L$7=0,"est Geotecnico",$L$7)</f>
        <v>est Geotecnico</v>
      </c>
      <c r="T33" s="103">
        <v>7</v>
      </c>
      <c r="U33" s="17" t="e">
        <f t="shared" si="12"/>
        <v>#N/A</v>
      </c>
      <c r="V33" s="17" t="str">
        <f t="shared" si="13"/>
        <v>est Geotecnico</v>
      </c>
      <c r="W33" s="17" t="str">
        <f t="shared" si="14"/>
        <v>est Geotecnico</v>
      </c>
      <c r="X33" s="129" t="str">
        <f>W33</f>
        <v>est Geotecnico</v>
      </c>
    </row>
    <row r="34" spans="1:24" x14ac:dyDescent="0.2">
      <c r="A34" s="123">
        <f t="shared" si="6"/>
        <v>2.8000000000000016</v>
      </c>
      <c r="B34" s="124">
        <f t="shared" si="4"/>
        <v>0.20357142857142843</v>
      </c>
      <c r="C34" s="125">
        <f t="shared" si="5"/>
        <v>1.5</v>
      </c>
      <c r="D34" s="125">
        <f t="shared" si="7"/>
        <v>0.13571428571428562</v>
      </c>
      <c r="N34" s="130">
        <f>COLUMN()</f>
        <v>14</v>
      </c>
      <c r="X34" s="130">
        <f>COLUMN()</f>
        <v>24</v>
      </c>
    </row>
    <row r="35" spans="1:24" x14ac:dyDescent="0.2">
      <c r="A35" s="123">
        <f t="shared" si="6"/>
        <v>2.9000000000000017</v>
      </c>
      <c r="B35" s="124">
        <f t="shared" si="4"/>
        <v>0.1965517241379309</v>
      </c>
      <c r="C35" s="125">
        <f t="shared" si="5"/>
        <v>1.5</v>
      </c>
      <c r="D35" s="125">
        <f t="shared" si="7"/>
        <v>0.13103448275862059</v>
      </c>
    </row>
    <row r="36" spans="1:24" x14ac:dyDescent="0.2">
      <c r="A36" s="123">
        <f t="shared" si="6"/>
        <v>3.0000000000000018</v>
      </c>
      <c r="B36" s="124">
        <f t="shared" si="4"/>
        <v>0.18999999999999986</v>
      </c>
      <c r="C36" s="125">
        <f t="shared" si="5"/>
        <v>1.5</v>
      </c>
      <c r="D36" s="125">
        <f t="shared" si="7"/>
        <v>0.12666666666666657</v>
      </c>
    </row>
    <row r="37" spans="1:24" x14ac:dyDescent="0.2">
      <c r="A37" s="123">
        <f t="shared" si="6"/>
        <v>3.1000000000000019</v>
      </c>
      <c r="B37" s="124">
        <f t="shared" si="4"/>
        <v>0.18387096774193537</v>
      </c>
      <c r="C37" s="125">
        <f t="shared" si="5"/>
        <v>1.5</v>
      </c>
      <c r="D37" s="125">
        <f t="shared" si="7"/>
        <v>0.12258064516129025</v>
      </c>
    </row>
    <row r="38" spans="1:24" x14ac:dyDescent="0.2">
      <c r="A38" s="123">
        <f t="shared" si="6"/>
        <v>3.200000000000002</v>
      </c>
      <c r="B38" s="124">
        <f t="shared" si="4"/>
        <v>0.17812499999999987</v>
      </c>
      <c r="C38" s="125">
        <f t="shared" si="5"/>
        <v>1.5</v>
      </c>
      <c r="D38" s="125">
        <f t="shared" si="7"/>
        <v>0.11874999999999991</v>
      </c>
    </row>
    <row r="39" spans="1:24" x14ac:dyDescent="0.2">
      <c r="A39" s="123">
        <f t="shared" si="6"/>
        <v>3.300000000000002</v>
      </c>
      <c r="B39" s="124">
        <f t="shared" si="4"/>
        <v>0.17272727272727262</v>
      </c>
      <c r="C39" s="125">
        <f t="shared" si="5"/>
        <v>1.5</v>
      </c>
      <c r="D39" s="125">
        <f t="shared" si="7"/>
        <v>0.11515151515151507</v>
      </c>
    </row>
    <row r="40" spans="1:24" x14ac:dyDescent="0.2">
      <c r="A40" s="123">
        <f t="shared" si="6"/>
        <v>3.4000000000000021</v>
      </c>
      <c r="B40" s="124">
        <f t="shared" si="4"/>
        <v>0.16764705882352929</v>
      </c>
      <c r="C40" s="125">
        <f t="shared" si="5"/>
        <v>1.5</v>
      </c>
      <c r="D40" s="125">
        <f t="shared" si="7"/>
        <v>0.11176470588235286</v>
      </c>
    </row>
    <row r="41" spans="1:24" x14ac:dyDescent="0.2">
      <c r="A41" s="123">
        <f t="shared" si="6"/>
        <v>3.5000000000000022</v>
      </c>
      <c r="B41" s="124">
        <f t="shared" si="4"/>
        <v>0.16285714285714273</v>
      </c>
      <c r="C41" s="125">
        <f t="shared" si="5"/>
        <v>1.5</v>
      </c>
      <c r="D41" s="125">
        <f t="shared" si="7"/>
        <v>0.10857142857142849</v>
      </c>
    </row>
    <row r="42" spans="1:24" ht="15" thickBot="1" x14ac:dyDescent="0.25">
      <c r="A42" s="123">
        <f t="shared" si="6"/>
        <v>3.6000000000000023</v>
      </c>
      <c r="B42" s="124">
        <f t="shared" si="4"/>
        <v>0.15833333333333321</v>
      </c>
      <c r="C42" s="125">
        <f t="shared" si="5"/>
        <v>1.5</v>
      </c>
      <c r="D42" s="125">
        <f t="shared" si="7"/>
        <v>0.10555555555555547</v>
      </c>
    </row>
    <row r="43" spans="1:24" ht="16.5" thickBot="1" x14ac:dyDescent="0.35">
      <c r="A43" s="123">
        <f t="shared" si="6"/>
        <v>3.7000000000000024</v>
      </c>
      <c r="B43" s="124">
        <f t="shared" ref="B43:B63" si="15">IF(T=0,PGA*Fpga,IF(AND(T&gt;=0,T&lt;=Top),PGA*Fpga+(Fap*Ss-PGA*Fpga)*T/Top,IF(AND(T&gt;=Top,T&lt;=Tsp),Fap*Ss,Fvp*S_1/T)))</f>
        <v>0.15405405405405395</v>
      </c>
      <c r="C43" s="125">
        <f t="shared" ref="C43:C63" si="16">IF(T&gt;Top,Rsis,(Rsis-1)*T/Top+1)</f>
        <v>1.5</v>
      </c>
      <c r="D43" s="125">
        <f t="shared" si="7"/>
        <v>0.10270270270270264</v>
      </c>
      <c r="F43" s="17"/>
      <c r="G43" s="135" t="s">
        <v>212</v>
      </c>
      <c r="H43" s="136" t="s">
        <v>213</v>
      </c>
      <c r="I43" s="137" t="s">
        <v>214</v>
      </c>
      <c r="J43" s="137" t="s">
        <v>215</v>
      </c>
      <c r="K43" s="137" t="s">
        <v>216</v>
      </c>
      <c r="L43" s="137" t="s">
        <v>217</v>
      </c>
    </row>
    <row r="44" spans="1:24" ht="15" thickBot="1" x14ac:dyDescent="0.25">
      <c r="A44" s="123">
        <f t="shared" si="6"/>
        <v>3.8000000000000025</v>
      </c>
      <c r="B44" s="124">
        <f t="shared" si="15"/>
        <v>0.14999999999999988</v>
      </c>
      <c r="C44" s="125">
        <f t="shared" si="16"/>
        <v>1.5</v>
      </c>
      <c r="D44" s="125">
        <f t="shared" si="7"/>
        <v>9.9999999999999922E-2</v>
      </c>
      <c r="F44" s="17" t="s">
        <v>218</v>
      </c>
      <c r="G44" s="17"/>
      <c r="H44" s="17"/>
      <c r="I44" s="17"/>
      <c r="J44" s="17"/>
      <c r="K44" s="17"/>
      <c r="L44" s="17"/>
    </row>
    <row r="45" spans="1:24" x14ac:dyDescent="0.2">
      <c r="A45" s="123">
        <f t="shared" si="6"/>
        <v>3.9000000000000026</v>
      </c>
      <c r="B45" s="124">
        <f t="shared" si="15"/>
        <v>0.14615384615384605</v>
      </c>
      <c r="C45" s="125">
        <f t="shared" si="16"/>
        <v>1.5</v>
      </c>
      <c r="D45" s="125">
        <f t="shared" si="7"/>
        <v>9.7435897435897367E-2</v>
      </c>
      <c r="F45" s="138" t="s">
        <v>219</v>
      </c>
      <c r="G45" s="139">
        <f>'[1]CORTANTE BASAL (Y)'!$B$11</f>
        <v>0</v>
      </c>
      <c r="H45" s="140">
        <f>IF(G$45=0,PGA*Fpga,IF(AND(G$45&gt;=0,G$45&lt;=Top),PGA*Fpga+(Fap*Ss-PGA*Fpga)*G$45/Top,IF(AND(G$45&gt;=Top,G$45&lt;=Tsp),Fap*Ss,Fvp*S_1/G$45)))</f>
        <v>0.32499999999999996</v>
      </c>
      <c r="I45" s="141" t="e">
        <f>H45/(2*PI()/$G45)^2*9.81</f>
        <v>#DIV/0!</v>
      </c>
      <c r="J45" s="141">
        <f>IF(G45&gt;Top,Rsis,(Rsis-1)*TBOG/AoBOG+1)</f>
        <v>15.0625</v>
      </c>
      <c r="K45" s="141">
        <f>H45/J45</f>
        <v>2.1576763485477175E-2</v>
      </c>
      <c r="L45" s="141" t="e">
        <f>K45/(2*PI()/$G45)^2*9.81</f>
        <v>#DIV/0!</v>
      </c>
    </row>
    <row r="46" spans="1:24" ht="15" thickBot="1" x14ac:dyDescent="0.25">
      <c r="A46" s="123">
        <f t="shared" si="6"/>
        <v>4.0000000000000027</v>
      </c>
      <c r="B46" s="124">
        <f t="shared" si="15"/>
        <v>0.1424999999999999</v>
      </c>
      <c r="C46" s="125">
        <f t="shared" si="16"/>
        <v>1.5</v>
      </c>
      <c r="D46" s="125">
        <f t="shared" si="7"/>
        <v>9.4999999999999932E-2</v>
      </c>
      <c r="F46" s="142" t="s">
        <v>220</v>
      </c>
      <c r="G46" s="143">
        <f>'[1]CORTANTE BASAL (Y)'!$R$14</f>
        <v>0</v>
      </c>
      <c r="H46" s="144">
        <f>IF(AND($G46&gt;=0,$G46&lt;Top),PGA*I*Fap,IF(AND($G46&gt;=Top,$G46&lt;=Tsp),2.5*PGA*Fap*I,IF(AND($G46&gt;Tsp,$G46&lt;=Tl),1.2*Ss*Fvp*I/$G46,1.2*Ss*Fvp*Tl*I/$G46^2)))</f>
        <v>0.32499999999999996</v>
      </c>
      <c r="I46" s="145" t="e">
        <f>H46/(2*PI()/$G46)^2*9.81</f>
        <v>#DIV/0!</v>
      </c>
      <c r="J46" s="145">
        <f>IF(G46&gt;Top,Rsis,(Rsis-1)*TBOG/AoBOG+1)</f>
        <v>15.374999999999998</v>
      </c>
      <c r="K46" s="145">
        <f>H46/J46</f>
        <v>2.113821138211382E-2</v>
      </c>
      <c r="L46" s="145" t="e">
        <f>K46/(2*PI()/$G46)^2*9.81</f>
        <v>#DIV/0!</v>
      </c>
    </row>
    <row r="47" spans="1:24" ht="15" thickBot="1" x14ac:dyDescent="0.25">
      <c r="A47" s="123">
        <f t="shared" si="6"/>
        <v>4.1000000000000023</v>
      </c>
      <c r="B47" s="124">
        <f t="shared" si="15"/>
        <v>0.13902439024390234</v>
      </c>
      <c r="C47" s="125">
        <f t="shared" si="16"/>
        <v>1.5</v>
      </c>
      <c r="D47" s="125">
        <f t="shared" si="7"/>
        <v>9.2682926829268222E-2</v>
      </c>
      <c r="F47" s="17" t="s">
        <v>221</v>
      </c>
      <c r="G47" s="17"/>
      <c r="H47" s="17"/>
      <c r="I47" s="17"/>
      <c r="J47" s="17"/>
      <c r="K47" s="17"/>
      <c r="L47" s="17"/>
    </row>
    <row r="48" spans="1:24" x14ac:dyDescent="0.2">
      <c r="A48" s="123">
        <f t="shared" si="6"/>
        <v>4.200000000000002</v>
      </c>
      <c r="B48" s="124">
        <f t="shared" si="15"/>
        <v>0.13571428571428565</v>
      </c>
      <c r="C48" s="125">
        <f t="shared" si="16"/>
        <v>1.5</v>
      </c>
      <c r="D48" s="125">
        <f t="shared" si="7"/>
        <v>9.0476190476190432E-2</v>
      </c>
      <c r="F48" s="138" t="s">
        <v>222</v>
      </c>
      <c r="G48" s="146"/>
      <c r="H48" s="140">
        <f>IF(AND($G48&gt;=0,$G48&lt;=Tsp),2.5*PGA*Fap*I,IF(AND($G48&gt;Tsp,$G48&lt;=Tl),1.2*Ss*Fvp*I/$G48,1.2*Ss*Fvp*Tl*I/$G48^2))</f>
        <v>0.81249999999999989</v>
      </c>
      <c r="I48" s="141" t="e">
        <f>H48/(2*PI()/$G48)^2*9.81</f>
        <v>#DIV/0!</v>
      </c>
      <c r="J48" s="141">
        <f>IF(G48&gt;Top,Rsis,(Rsis-1)*TBOG/AoBOG+1)</f>
        <v>15.999999999999996</v>
      </c>
      <c r="K48" s="141">
        <f t="shared" ref="K48:K51" si="17">H48/J48</f>
        <v>5.0781250000000007E-2</v>
      </c>
      <c r="L48" s="141" t="e">
        <f>K48/(2*PI()/$G48)^2*9.81</f>
        <v>#DIV/0!</v>
      </c>
    </row>
    <row r="49" spans="1:12" x14ac:dyDescent="0.2">
      <c r="A49" s="123">
        <f t="shared" si="6"/>
        <v>4.3000000000000016</v>
      </c>
      <c r="B49" s="124">
        <f t="shared" si="15"/>
        <v>0.13255813953488366</v>
      </c>
      <c r="C49" s="125">
        <f t="shared" si="16"/>
        <v>1.5</v>
      </c>
      <c r="D49" s="125">
        <f t="shared" si="7"/>
        <v>8.8372093023255771E-2</v>
      </c>
      <c r="F49" s="147" t="s">
        <v>223</v>
      </c>
      <c r="G49" s="148"/>
      <c r="H49" s="149">
        <f>IF(AND($G49&gt;=0,$G49&lt;Top),PGA*I*Fap,IF(AND($G49&gt;=Top,$G49&lt;=Tsp),2.5*PGA*Fap*I,IF(AND($G49&gt;Tsp,$G49&lt;=Tl),1.2*Ss*Fvp*I/$G49,1.2*Ss*Fvp*Tl*I/$G49^2)))</f>
        <v>0.32499999999999996</v>
      </c>
      <c r="I49" s="150" t="e">
        <f>H49/(2*PI()/$G49)^2*9.81</f>
        <v>#DIV/0!</v>
      </c>
      <c r="J49" s="150">
        <f>IF(G49&gt;Top,Rsis,(Rsis-1)*TBOG/AoBOG+1)</f>
        <v>16.312499999999993</v>
      </c>
      <c r="K49" s="150">
        <f t="shared" si="17"/>
        <v>1.9923371647509583E-2</v>
      </c>
      <c r="L49" s="150" t="e">
        <f>K49/(2*PI()/$G49)^2*9.81</f>
        <v>#DIV/0!</v>
      </c>
    </row>
    <row r="50" spans="1:12" x14ac:dyDescent="0.2">
      <c r="A50" s="123">
        <f t="shared" si="6"/>
        <v>4.4000000000000012</v>
      </c>
      <c r="B50" s="124">
        <f t="shared" si="15"/>
        <v>0.12954545454545449</v>
      </c>
      <c r="C50" s="125">
        <f t="shared" si="16"/>
        <v>1.5</v>
      </c>
      <c r="D50" s="125">
        <f t="shared" si="7"/>
        <v>8.6363636363636323E-2</v>
      </c>
      <c r="F50" s="147" t="s">
        <v>224</v>
      </c>
      <c r="G50" s="148"/>
      <c r="H50" s="149">
        <f>IF(AND($G50&gt;=0,$G50&lt;Top),PGA*I*Fap,IF(AND($G50&gt;=Top,$G50&lt;=Tsp),2.5*PGA*Fap*I,IF(AND($G50&gt;Tsp,$G50&lt;=Tl),1.2*Ss*Fvp*I/$G50,1.2*Ss*Fvp*Tl*I/$G50^2)))</f>
        <v>0.32499999999999996</v>
      </c>
      <c r="I50" s="150" t="e">
        <f>H50/(2*PI()/$G50)^2*9.81</f>
        <v>#DIV/0!</v>
      </c>
      <c r="J50" s="150">
        <f>IF(G50&gt;Top,Rsis,(Rsis-1)*TBOG/AoBOG+1)</f>
        <v>16.624999999999993</v>
      </c>
      <c r="K50" s="150">
        <f t="shared" si="17"/>
        <v>1.9548872180451135E-2</v>
      </c>
      <c r="L50" s="150" t="e">
        <f>K50/(2*PI()/$G50)^2*9.81</f>
        <v>#DIV/0!</v>
      </c>
    </row>
    <row r="51" spans="1:12" ht="15" thickBot="1" x14ac:dyDescent="0.25">
      <c r="A51" s="123">
        <f t="shared" si="6"/>
        <v>4.5000000000000009</v>
      </c>
      <c r="B51" s="124">
        <f t="shared" si="15"/>
        <v>0.12666666666666662</v>
      </c>
      <c r="C51" s="125">
        <f t="shared" si="16"/>
        <v>1.5</v>
      </c>
      <c r="D51" s="125">
        <f t="shared" si="7"/>
        <v>8.4444444444444419E-2</v>
      </c>
      <c r="F51" s="142" t="s">
        <v>225</v>
      </c>
      <c r="G51" s="151"/>
      <c r="H51" s="144">
        <f>IF(AND($G51&gt;=0,$G51&lt;Top),PGA*I*Fap,IF(AND($G51&gt;=Top,$G51&lt;=Tsp),2.5*PGA*Fap*I,IF(AND($G51&gt;Tsp,$G51&lt;=Tl),1.2*Ss*Fvp*I/$G51,1.2*Ss*Fvp*Tl*I/$G51^2)))</f>
        <v>0.32499999999999996</v>
      </c>
      <c r="I51" s="145" t="e">
        <f>H51/(2*PI()/$G51)^2*9.81</f>
        <v>#DIV/0!</v>
      </c>
      <c r="J51" s="145" t="e">
        <f>IF(G51&gt;Top,Rsis,(Rsis-1)*TBOG/AoBOG+1)</f>
        <v>#VALUE!</v>
      </c>
      <c r="K51" s="145" t="e">
        <f t="shared" si="17"/>
        <v>#VALUE!</v>
      </c>
      <c r="L51" s="145" t="e">
        <f>K51/(2*PI()/$G51)^2*9.81</f>
        <v>#VALUE!</v>
      </c>
    </row>
    <row r="52" spans="1:12" x14ac:dyDescent="0.2">
      <c r="A52" s="123">
        <f t="shared" si="6"/>
        <v>4.6000000000000005</v>
      </c>
      <c r="B52" s="124">
        <f t="shared" si="15"/>
        <v>0.12391304347826085</v>
      </c>
      <c r="C52" s="125">
        <f t="shared" si="16"/>
        <v>1.5</v>
      </c>
      <c r="D52" s="125">
        <f t="shared" si="7"/>
        <v>8.2608695652173894E-2</v>
      </c>
    </row>
    <row r="53" spans="1:12" x14ac:dyDescent="0.2">
      <c r="A53" s="123">
        <f t="shared" si="6"/>
        <v>4.7</v>
      </c>
      <c r="B53" s="124">
        <f t="shared" si="15"/>
        <v>0.12127659574468083</v>
      </c>
      <c r="C53" s="125">
        <f t="shared" si="16"/>
        <v>1.5</v>
      </c>
      <c r="D53" s="125">
        <f t="shared" si="7"/>
        <v>8.0851063829787226E-2</v>
      </c>
    </row>
    <row r="54" spans="1:12" x14ac:dyDescent="0.2">
      <c r="A54" s="123">
        <f t="shared" si="6"/>
        <v>4.8</v>
      </c>
      <c r="B54" s="124">
        <f t="shared" si="15"/>
        <v>0.11874999999999999</v>
      </c>
      <c r="C54" s="125">
        <f t="shared" si="16"/>
        <v>1.5</v>
      </c>
      <c r="D54" s="125">
        <f t="shared" si="7"/>
        <v>7.9166666666666663E-2</v>
      </c>
    </row>
    <row r="55" spans="1:12" x14ac:dyDescent="0.2">
      <c r="A55" s="123">
        <f t="shared" si="6"/>
        <v>4.8999999999999995</v>
      </c>
      <c r="B55" s="124">
        <f t="shared" si="15"/>
        <v>0.1163265306122449</v>
      </c>
      <c r="C55" s="125">
        <f t="shared" si="16"/>
        <v>1.5</v>
      </c>
      <c r="D55" s="125">
        <f t="shared" si="7"/>
        <v>7.7551020408163265E-2</v>
      </c>
    </row>
    <row r="56" spans="1:12" x14ac:dyDescent="0.2">
      <c r="A56" s="123">
        <f t="shared" si="6"/>
        <v>4.9999999999999991</v>
      </c>
      <c r="B56" s="124">
        <f t="shared" si="15"/>
        <v>0.114</v>
      </c>
      <c r="C56" s="125">
        <f t="shared" si="16"/>
        <v>1.5</v>
      </c>
      <c r="D56" s="125">
        <f t="shared" si="7"/>
        <v>7.5999999999999998E-2</v>
      </c>
    </row>
    <row r="57" spans="1:12" x14ac:dyDescent="0.2">
      <c r="A57" s="123">
        <f t="shared" si="6"/>
        <v>5.0999999999999988</v>
      </c>
      <c r="B57" s="124">
        <f t="shared" si="15"/>
        <v>0.11176470588235296</v>
      </c>
      <c r="C57" s="125">
        <f t="shared" si="16"/>
        <v>1.5</v>
      </c>
      <c r="D57" s="125">
        <f t="shared" si="7"/>
        <v>7.450980392156864E-2</v>
      </c>
    </row>
    <row r="58" spans="1:12" x14ac:dyDescent="0.2">
      <c r="A58" s="123">
        <f t="shared" si="6"/>
        <v>5.1999999999999984</v>
      </c>
      <c r="B58" s="124">
        <f t="shared" si="15"/>
        <v>0.10961538461538464</v>
      </c>
      <c r="C58" s="125">
        <f t="shared" si="16"/>
        <v>1.5</v>
      </c>
      <c r="D58" s="125">
        <f t="shared" si="7"/>
        <v>7.3076923076923095E-2</v>
      </c>
    </row>
    <row r="59" spans="1:12" x14ac:dyDescent="0.2">
      <c r="A59" s="123">
        <f t="shared" si="6"/>
        <v>5.299999999999998</v>
      </c>
      <c r="B59" s="124">
        <f t="shared" si="15"/>
        <v>0.10754716981132079</v>
      </c>
      <c r="C59" s="125">
        <f t="shared" si="16"/>
        <v>1.5</v>
      </c>
      <c r="D59" s="125">
        <f t="shared" si="7"/>
        <v>7.1698113207547196E-2</v>
      </c>
    </row>
    <row r="60" spans="1:12" x14ac:dyDescent="0.2">
      <c r="A60" s="123">
        <f t="shared" si="6"/>
        <v>5.3999999999999977</v>
      </c>
      <c r="B60" s="124">
        <f t="shared" si="15"/>
        <v>0.1055555555555556</v>
      </c>
      <c r="C60" s="125">
        <f t="shared" si="16"/>
        <v>1.5</v>
      </c>
      <c r="D60" s="125">
        <f t="shared" si="7"/>
        <v>7.0370370370370403E-2</v>
      </c>
    </row>
    <row r="61" spans="1:12" x14ac:dyDescent="0.2">
      <c r="A61" s="123">
        <f t="shared" si="6"/>
        <v>5.4999999999999973</v>
      </c>
      <c r="B61" s="124">
        <f t="shared" si="15"/>
        <v>0.10363636363636368</v>
      </c>
      <c r="C61" s="125">
        <f t="shared" si="16"/>
        <v>1.5</v>
      </c>
      <c r="D61" s="125">
        <f t="shared" si="7"/>
        <v>6.9090909090909119E-2</v>
      </c>
    </row>
    <row r="62" spans="1:12" x14ac:dyDescent="0.2">
      <c r="A62" s="123">
        <f t="shared" si="6"/>
        <v>5.599999999999997</v>
      </c>
      <c r="B62" s="124">
        <f t="shared" si="15"/>
        <v>0.10178571428571433</v>
      </c>
      <c r="C62" s="125">
        <f t="shared" si="16"/>
        <v>1.5</v>
      </c>
      <c r="D62" s="125">
        <f t="shared" si="7"/>
        <v>6.785714285714288E-2</v>
      </c>
    </row>
    <row r="63" spans="1:12" x14ac:dyDescent="0.2">
      <c r="A63" s="123">
        <f t="shared" si="6"/>
        <v>5.6999999999999966</v>
      </c>
      <c r="B63" s="124">
        <f t="shared" si="15"/>
        <v>0.10000000000000005</v>
      </c>
      <c r="C63" s="125">
        <f t="shared" si="16"/>
        <v>1.5</v>
      </c>
      <c r="D63" s="125">
        <f t="shared" si="7"/>
        <v>6.6666666666666693E-2</v>
      </c>
    </row>
  </sheetData>
  <mergeCells count="10">
    <mergeCell ref="N25:S25"/>
    <mergeCell ref="N26:N27"/>
    <mergeCell ref="O26:S26"/>
    <mergeCell ref="D1:L1"/>
    <mergeCell ref="N5:S5"/>
    <mergeCell ref="N6:N7"/>
    <mergeCell ref="O6:S6"/>
    <mergeCell ref="N15:S15"/>
    <mergeCell ref="N16:N17"/>
    <mergeCell ref="O16:S16"/>
  </mergeCells>
  <dataValidations count="1">
    <dataValidation type="list" allowBlank="1" showInputMessage="1" showErrorMessage="1" sqref="D3" xr:uid="{5B94A58D-109A-4D1A-8D36-BD69DB5D7194}">
      <formula1>$N$10:$N$15</formula1>
    </dataValidation>
  </dataValidations>
  <pageMargins left="0.7" right="0.7" top="0.75" bottom="0.75" header="0.3" footer="0.3"/>
  <pageSetup paperSize="9" scale="91" orientation="portrait" horizontalDpi="200" verticalDpi="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7DCC-D866-499C-80C5-6D191237E344}">
  <dimension ref="A1:BD52"/>
  <sheetViews>
    <sheetView showGridLines="0" zoomScaleNormal="100" zoomScaleSheetLayoutView="100" workbookViewId="0">
      <selection sqref="A1:M1"/>
    </sheetView>
  </sheetViews>
  <sheetFormatPr baseColWidth="10" defaultRowHeight="14.25" x14ac:dyDescent="0.2"/>
  <cols>
    <col min="1" max="1" width="7.42578125" style="17" bestFit="1" customWidth="1"/>
    <col min="2" max="2" width="6.5703125" style="17" customWidth="1"/>
    <col min="3" max="3" width="4.140625" style="17" customWidth="1"/>
    <col min="4" max="4" width="6.7109375" style="17" customWidth="1"/>
    <col min="5" max="5" width="6.140625" style="17" customWidth="1"/>
    <col min="6" max="6" width="11.42578125" style="17"/>
    <col min="7" max="7" width="5.28515625" style="17" customWidth="1"/>
    <col min="8" max="8" width="6" style="17" customWidth="1"/>
    <col min="9" max="9" width="6.140625" style="17" customWidth="1"/>
    <col min="10" max="11" width="5.5703125" style="17" customWidth="1"/>
    <col min="12" max="12" width="6.42578125" style="17" customWidth="1"/>
    <col min="13" max="13" width="8.85546875" style="17" customWidth="1"/>
    <col min="14" max="14" width="9.7109375" style="17" customWidth="1"/>
    <col min="15" max="15" width="9.42578125" style="17" customWidth="1"/>
    <col min="16" max="16" width="12.7109375" style="17" customWidth="1"/>
    <col min="17" max="20" width="11.42578125" style="17"/>
    <col min="21" max="21" width="9.28515625" style="17" customWidth="1"/>
    <col min="22" max="259" width="11.42578125" style="17"/>
    <col min="260" max="260" width="7.42578125" style="17" bestFit="1" customWidth="1"/>
    <col min="261" max="261" width="7.85546875" style="17" customWidth="1"/>
    <col min="262" max="262" width="5.85546875" style="17" customWidth="1"/>
    <col min="263" max="263" width="4.7109375" style="17" bestFit="1" customWidth="1"/>
    <col min="264" max="264" width="8.140625" style="17" customWidth="1"/>
    <col min="265" max="275" width="11.42578125" style="17"/>
    <col min="276" max="276" width="2" style="17" bestFit="1" customWidth="1"/>
    <col min="277" max="515" width="11.42578125" style="17"/>
    <col min="516" max="516" width="7.42578125" style="17" bestFit="1" customWidth="1"/>
    <col min="517" max="517" width="7.85546875" style="17" customWidth="1"/>
    <col min="518" max="518" width="5.85546875" style="17" customWidth="1"/>
    <col min="519" max="519" width="4.7109375" style="17" bestFit="1" customWidth="1"/>
    <col min="520" max="520" width="8.140625" style="17" customWidth="1"/>
    <col min="521" max="531" width="11.42578125" style="17"/>
    <col min="532" max="532" width="2" style="17" bestFit="1" customWidth="1"/>
    <col min="533" max="771" width="11.42578125" style="17"/>
    <col min="772" max="772" width="7.42578125" style="17" bestFit="1" customWidth="1"/>
    <col min="773" max="773" width="7.85546875" style="17" customWidth="1"/>
    <col min="774" max="774" width="5.85546875" style="17" customWidth="1"/>
    <col min="775" max="775" width="4.7109375" style="17" bestFit="1" customWidth="1"/>
    <col min="776" max="776" width="8.140625" style="17" customWidth="1"/>
    <col min="777" max="787" width="11.42578125" style="17"/>
    <col min="788" max="788" width="2" style="17" bestFit="1" customWidth="1"/>
    <col min="789" max="1027" width="11.42578125" style="17"/>
    <col min="1028" max="1028" width="7.42578125" style="17" bestFit="1" customWidth="1"/>
    <col min="1029" max="1029" width="7.85546875" style="17" customWidth="1"/>
    <col min="1030" max="1030" width="5.85546875" style="17" customWidth="1"/>
    <col min="1031" max="1031" width="4.7109375" style="17" bestFit="1" customWidth="1"/>
    <col min="1032" max="1032" width="8.140625" style="17" customWidth="1"/>
    <col min="1033" max="1043" width="11.42578125" style="17"/>
    <col min="1044" max="1044" width="2" style="17" bestFit="1" customWidth="1"/>
    <col min="1045" max="1283" width="11.42578125" style="17"/>
    <col min="1284" max="1284" width="7.42578125" style="17" bestFit="1" customWidth="1"/>
    <col min="1285" max="1285" width="7.85546875" style="17" customWidth="1"/>
    <col min="1286" max="1286" width="5.85546875" style="17" customWidth="1"/>
    <col min="1287" max="1287" width="4.7109375" style="17" bestFit="1" customWidth="1"/>
    <col min="1288" max="1288" width="8.140625" style="17" customWidth="1"/>
    <col min="1289" max="1299" width="11.42578125" style="17"/>
    <col min="1300" max="1300" width="2" style="17" bestFit="1" customWidth="1"/>
    <col min="1301" max="1539" width="11.42578125" style="17"/>
    <col min="1540" max="1540" width="7.42578125" style="17" bestFit="1" customWidth="1"/>
    <col min="1541" max="1541" width="7.85546875" style="17" customWidth="1"/>
    <col min="1542" max="1542" width="5.85546875" style="17" customWidth="1"/>
    <col min="1543" max="1543" width="4.7109375" style="17" bestFit="1" customWidth="1"/>
    <col min="1544" max="1544" width="8.140625" style="17" customWidth="1"/>
    <col min="1545" max="1555" width="11.42578125" style="17"/>
    <col min="1556" max="1556" width="2" style="17" bestFit="1" customWidth="1"/>
    <col min="1557" max="1795" width="11.42578125" style="17"/>
    <col min="1796" max="1796" width="7.42578125" style="17" bestFit="1" customWidth="1"/>
    <col min="1797" max="1797" width="7.85546875" style="17" customWidth="1"/>
    <col min="1798" max="1798" width="5.85546875" style="17" customWidth="1"/>
    <col min="1799" max="1799" width="4.7109375" style="17" bestFit="1" customWidth="1"/>
    <col min="1800" max="1800" width="8.140625" style="17" customWidth="1"/>
    <col min="1801" max="1811" width="11.42578125" style="17"/>
    <col min="1812" max="1812" width="2" style="17" bestFit="1" customWidth="1"/>
    <col min="1813" max="2051" width="11.42578125" style="17"/>
    <col min="2052" max="2052" width="7.42578125" style="17" bestFit="1" customWidth="1"/>
    <col min="2053" max="2053" width="7.85546875" style="17" customWidth="1"/>
    <col min="2054" max="2054" width="5.85546875" style="17" customWidth="1"/>
    <col min="2055" max="2055" width="4.7109375" style="17" bestFit="1" customWidth="1"/>
    <col min="2056" max="2056" width="8.140625" style="17" customWidth="1"/>
    <col min="2057" max="2067" width="11.42578125" style="17"/>
    <col min="2068" max="2068" width="2" style="17" bestFit="1" customWidth="1"/>
    <col min="2069" max="2307" width="11.42578125" style="17"/>
    <col min="2308" max="2308" width="7.42578125" style="17" bestFit="1" customWidth="1"/>
    <col min="2309" max="2309" width="7.85546875" style="17" customWidth="1"/>
    <col min="2310" max="2310" width="5.85546875" style="17" customWidth="1"/>
    <col min="2311" max="2311" width="4.7109375" style="17" bestFit="1" customWidth="1"/>
    <col min="2312" max="2312" width="8.140625" style="17" customWidth="1"/>
    <col min="2313" max="2323" width="11.42578125" style="17"/>
    <col min="2324" max="2324" width="2" style="17" bestFit="1" customWidth="1"/>
    <col min="2325" max="2563" width="11.42578125" style="17"/>
    <col min="2564" max="2564" width="7.42578125" style="17" bestFit="1" customWidth="1"/>
    <col min="2565" max="2565" width="7.85546875" style="17" customWidth="1"/>
    <col min="2566" max="2566" width="5.85546875" style="17" customWidth="1"/>
    <col min="2567" max="2567" width="4.7109375" style="17" bestFit="1" customWidth="1"/>
    <col min="2568" max="2568" width="8.140625" style="17" customWidth="1"/>
    <col min="2569" max="2579" width="11.42578125" style="17"/>
    <col min="2580" max="2580" width="2" style="17" bestFit="1" customWidth="1"/>
    <col min="2581" max="2819" width="11.42578125" style="17"/>
    <col min="2820" max="2820" width="7.42578125" style="17" bestFit="1" customWidth="1"/>
    <col min="2821" max="2821" width="7.85546875" style="17" customWidth="1"/>
    <col min="2822" max="2822" width="5.85546875" style="17" customWidth="1"/>
    <col min="2823" max="2823" width="4.7109375" style="17" bestFit="1" customWidth="1"/>
    <col min="2824" max="2824" width="8.140625" style="17" customWidth="1"/>
    <col min="2825" max="2835" width="11.42578125" style="17"/>
    <col min="2836" max="2836" width="2" style="17" bestFit="1" customWidth="1"/>
    <col min="2837" max="3075" width="11.42578125" style="17"/>
    <col min="3076" max="3076" width="7.42578125" style="17" bestFit="1" customWidth="1"/>
    <col min="3077" max="3077" width="7.85546875" style="17" customWidth="1"/>
    <col min="3078" max="3078" width="5.85546875" style="17" customWidth="1"/>
    <col min="3079" max="3079" width="4.7109375" style="17" bestFit="1" customWidth="1"/>
    <col min="3080" max="3080" width="8.140625" style="17" customWidth="1"/>
    <col min="3081" max="3091" width="11.42578125" style="17"/>
    <col min="3092" max="3092" width="2" style="17" bestFit="1" customWidth="1"/>
    <col min="3093" max="3331" width="11.42578125" style="17"/>
    <col min="3332" max="3332" width="7.42578125" style="17" bestFit="1" customWidth="1"/>
    <col min="3333" max="3333" width="7.85546875" style="17" customWidth="1"/>
    <col min="3334" max="3334" width="5.85546875" style="17" customWidth="1"/>
    <col min="3335" max="3335" width="4.7109375" style="17" bestFit="1" customWidth="1"/>
    <col min="3336" max="3336" width="8.140625" style="17" customWidth="1"/>
    <col min="3337" max="3347" width="11.42578125" style="17"/>
    <col min="3348" max="3348" width="2" style="17" bestFit="1" customWidth="1"/>
    <col min="3349" max="3587" width="11.42578125" style="17"/>
    <col min="3588" max="3588" width="7.42578125" style="17" bestFit="1" customWidth="1"/>
    <col min="3589" max="3589" width="7.85546875" style="17" customWidth="1"/>
    <col min="3590" max="3590" width="5.85546875" style="17" customWidth="1"/>
    <col min="3591" max="3591" width="4.7109375" style="17" bestFit="1" customWidth="1"/>
    <col min="3592" max="3592" width="8.140625" style="17" customWidth="1"/>
    <col min="3593" max="3603" width="11.42578125" style="17"/>
    <col min="3604" max="3604" width="2" style="17" bestFit="1" customWidth="1"/>
    <col min="3605" max="3843" width="11.42578125" style="17"/>
    <col min="3844" max="3844" width="7.42578125" style="17" bestFit="1" customWidth="1"/>
    <col min="3845" max="3845" width="7.85546875" style="17" customWidth="1"/>
    <col min="3846" max="3846" width="5.85546875" style="17" customWidth="1"/>
    <col min="3847" max="3847" width="4.7109375" style="17" bestFit="1" customWidth="1"/>
    <col min="3848" max="3848" width="8.140625" style="17" customWidth="1"/>
    <col min="3849" max="3859" width="11.42578125" style="17"/>
    <col min="3860" max="3860" width="2" style="17" bestFit="1" customWidth="1"/>
    <col min="3861" max="4099" width="11.42578125" style="17"/>
    <col min="4100" max="4100" width="7.42578125" style="17" bestFit="1" customWidth="1"/>
    <col min="4101" max="4101" width="7.85546875" style="17" customWidth="1"/>
    <col min="4102" max="4102" width="5.85546875" style="17" customWidth="1"/>
    <col min="4103" max="4103" width="4.7109375" style="17" bestFit="1" customWidth="1"/>
    <col min="4104" max="4104" width="8.140625" style="17" customWidth="1"/>
    <col min="4105" max="4115" width="11.42578125" style="17"/>
    <col min="4116" max="4116" width="2" style="17" bestFit="1" customWidth="1"/>
    <col min="4117" max="4355" width="11.42578125" style="17"/>
    <col min="4356" max="4356" width="7.42578125" style="17" bestFit="1" customWidth="1"/>
    <col min="4357" max="4357" width="7.85546875" style="17" customWidth="1"/>
    <col min="4358" max="4358" width="5.85546875" style="17" customWidth="1"/>
    <col min="4359" max="4359" width="4.7109375" style="17" bestFit="1" customWidth="1"/>
    <col min="4360" max="4360" width="8.140625" style="17" customWidth="1"/>
    <col min="4361" max="4371" width="11.42578125" style="17"/>
    <col min="4372" max="4372" width="2" style="17" bestFit="1" customWidth="1"/>
    <col min="4373" max="4611" width="11.42578125" style="17"/>
    <col min="4612" max="4612" width="7.42578125" style="17" bestFit="1" customWidth="1"/>
    <col min="4613" max="4613" width="7.85546875" style="17" customWidth="1"/>
    <col min="4614" max="4614" width="5.85546875" style="17" customWidth="1"/>
    <col min="4615" max="4615" width="4.7109375" style="17" bestFit="1" customWidth="1"/>
    <col min="4616" max="4616" width="8.140625" style="17" customWidth="1"/>
    <col min="4617" max="4627" width="11.42578125" style="17"/>
    <col min="4628" max="4628" width="2" style="17" bestFit="1" customWidth="1"/>
    <col min="4629" max="4867" width="11.42578125" style="17"/>
    <col min="4868" max="4868" width="7.42578125" style="17" bestFit="1" customWidth="1"/>
    <col min="4869" max="4869" width="7.85546875" style="17" customWidth="1"/>
    <col min="4870" max="4870" width="5.85546875" style="17" customWidth="1"/>
    <col min="4871" max="4871" width="4.7109375" style="17" bestFit="1" customWidth="1"/>
    <col min="4872" max="4872" width="8.140625" style="17" customWidth="1"/>
    <col min="4873" max="4883" width="11.42578125" style="17"/>
    <col min="4884" max="4884" width="2" style="17" bestFit="1" customWidth="1"/>
    <col min="4885" max="5123" width="11.42578125" style="17"/>
    <col min="5124" max="5124" width="7.42578125" style="17" bestFit="1" customWidth="1"/>
    <col min="5125" max="5125" width="7.85546875" style="17" customWidth="1"/>
    <col min="5126" max="5126" width="5.85546875" style="17" customWidth="1"/>
    <col min="5127" max="5127" width="4.7109375" style="17" bestFit="1" customWidth="1"/>
    <col min="5128" max="5128" width="8.140625" style="17" customWidth="1"/>
    <col min="5129" max="5139" width="11.42578125" style="17"/>
    <col min="5140" max="5140" width="2" style="17" bestFit="1" customWidth="1"/>
    <col min="5141" max="5379" width="11.42578125" style="17"/>
    <col min="5380" max="5380" width="7.42578125" style="17" bestFit="1" customWidth="1"/>
    <col min="5381" max="5381" width="7.85546875" style="17" customWidth="1"/>
    <col min="5382" max="5382" width="5.85546875" style="17" customWidth="1"/>
    <col min="5383" max="5383" width="4.7109375" style="17" bestFit="1" customWidth="1"/>
    <col min="5384" max="5384" width="8.140625" style="17" customWidth="1"/>
    <col min="5385" max="5395" width="11.42578125" style="17"/>
    <col min="5396" max="5396" width="2" style="17" bestFit="1" customWidth="1"/>
    <col min="5397" max="5635" width="11.42578125" style="17"/>
    <col min="5636" max="5636" width="7.42578125" style="17" bestFit="1" customWidth="1"/>
    <col min="5637" max="5637" width="7.85546875" style="17" customWidth="1"/>
    <col min="5638" max="5638" width="5.85546875" style="17" customWidth="1"/>
    <col min="5639" max="5639" width="4.7109375" style="17" bestFit="1" customWidth="1"/>
    <col min="5640" max="5640" width="8.140625" style="17" customWidth="1"/>
    <col min="5641" max="5651" width="11.42578125" style="17"/>
    <col min="5652" max="5652" width="2" style="17" bestFit="1" customWidth="1"/>
    <col min="5653" max="5891" width="11.42578125" style="17"/>
    <col min="5892" max="5892" width="7.42578125" style="17" bestFit="1" customWidth="1"/>
    <col min="5893" max="5893" width="7.85546875" style="17" customWidth="1"/>
    <col min="5894" max="5894" width="5.85546875" style="17" customWidth="1"/>
    <col min="5895" max="5895" width="4.7109375" style="17" bestFit="1" customWidth="1"/>
    <col min="5896" max="5896" width="8.140625" style="17" customWidth="1"/>
    <col min="5897" max="5907" width="11.42578125" style="17"/>
    <col min="5908" max="5908" width="2" style="17" bestFit="1" customWidth="1"/>
    <col min="5909" max="6147" width="11.42578125" style="17"/>
    <col min="6148" max="6148" width="7.42578125" style="17" bestFit="1" customWidth="1"/>
    <col min="6149" max="6149" width="7.85546875" style="17" customWidth="1"/>
    <col min="6150" max="6150" width="5.85546875" style="17" customWidth="1"/>
    <col min="6151" max="6151" width="4.7109375" style="17" bestFit="1" customWidth="1"/>
    <col min="6152" max="6152" width="8.140625" style="17" customWidth="1"/>
    <col min="6153" max="6163" width="11.42578125" style="17"/>
    <col min="6164" max="6164" width="2" style="17" bestFit="1" customWidth="1"/>
    <col min="6165" max="6403" width="11.42578125" style="17"/>
    <col min="6404" max="6404" width="7.42578125" style="17" bestFit="1" customWidth="1"/>
    <col min="6405" max="6405" width="7.85546875" style="17" customWidth="1"/>
    <col min="6406" max="6406" width="5.85546875" style="17" customWidth="1"/>
    <col min="6407" max="6407" width="4.7109375" style="17" bestFit="1" customWidth="1"/>
    <col min="6408" max="6408" width="8.140625" style="17" customWidth="1"/>
    <col min="6409" max="6419" width="11.42578125" style="17"/>
    <col min="6420" max="6420" width="2" style="17" bestFit="1" customWidth="1"/>
    <col min="6421" max="6659" width="11.42578125" style="17"/>
    <col min="6660" max="6660" width="7.42578125" style="17" bestFit="1" customWidth="1"/>
    <col min="6661" max="6661" width="7.85546875" style="17" customWidth="1"/>
    <col min="6662" max="6662" width="5.85546875" style="17" customWidth="1"/>
    <col min="6663" max="6663" width="4.7109375" style="17" bestFit="1" customWidth="1"/>
    <col min="6664" max="6664" width="8.140625" style="17" customWidth="1"/>
    <col min="6665" max="6675" width="11.42578125" style="17"/>
    <col min="6676" max="6676" width="2" style="17" bestFit="1" customWidth="1"/>
    <col min="6677" max="6915" width="11.42578125" style="17"/>
    <col min="6916" max="6916" width="7.42578125" style="17" bestFit="1" customWidth="1"/>
    <col min="6917" max="6917" width="7.85546875" style="17" customWidth="1"/>
    <col min="6918" max="6918" width="5.85546875" style="17" customWidth="1"/>
    <col min="6919" max="6919" width="4.7109375" style="17" bestFit="1" customWidth="1"/>
    <col min="6920" max="6920" width="8.140625" style="17" customWidth="1"/>
    <col min="6921" max="6931" width="11.42578125" style="17"/>
    <col min="6932" max="6932" width="2" style="17" bestFit="1" customWidth="1"/>
    <col min="6933" max="7171" width="11.42578125" style="17"/>
    <col min="7172" max="7172" width="7.42578125" style="17" bestFit="1" customWidth="1"/>
    <col min="7173" max="7173" width="7.85546875" style="17" customWidth="1"/>
    <col min="7174" max="7174" width="5.85546875" style="17" customWidth="1"/>
    <col min="7175" max="7175" width="4.7109375" style="17" bestFit="1" customWidth="1"/>
    <col min="7176" max="7176" width="8.140625" style="17" customWidth="1"/>
    <col min="7177" max="7187" width="11.42578125" style="17"/>
    <col min="7188" max="7188" width="2" style="17" bestFit="1" customWidth="1"/>
    <col min="7189" max="7427" width="11.42578125" style="17"/>
    <col min="7428" max="7428" width="7.42578125" style="17" bestFit="1" customWidth="1"/>
    <col min="7429" max="7429" width="7.85546875" style="17" customWidth="1"/>
    <col min="7430" max="7430" width="5.85546875" style="17" customWidth="1"/>
    <col min="7431" max="7431" width="4.7109375" style="17" bestFit="1" customWidth="1"/>
    <col min="7432" max="7432" width="8.140625" style="17" customWidth="1"/>
    <col min="7433" max="7443" width="11.42578125" style="17"/>
    <col min="7444" max="7444" width="2" style="17" bestFit="1" customWidth="1"/>
    <col min="7445" max="7683" width="11.42578125" style="17"/>
    <col min="7684" max="7684" width="7.42578125" style="17" bestFit="1" customWidth="1"/>
    <col min="7685" max="7685" width="7.85546875" style="17" customWidth="1"/>
    <col min="7686" max="7686" width="5.85546875" style="17" customWidth="1"/>
    <col min="7687" max="7687" width="4.7109375" style="17" bestFit="1" customWidth="1"/>
    <col min="7688" max="7688" width="8.140625" style="17" customWidth="1"/>
    <col min="7689" max="7699" width="11.42578125" style="17"/>
    <col min="7700" max="7700" width="2" style="17" bestFit="1" customWidth="1"/>
    <col min="7701" max="7939" width="11.42578125" style="17"/>
    <col min="7940" max="7940" width="7.42578125" style="17" bestFit="1" customWidth="1"/>
    <col min="7941" max="7941" width="7.85546875" style="17" customWidth="1"/>
    <col min="7942" max="7942" width="5.85546875" style="17" customWidth="1"/>
    <col min="7943" max="7943" width="4.7109375" style="17" bestFit="1" customWidth="1"/>
    <col min="7944" max="7944" width="8.140625" style="17" customWidth="1"/>
    <col min="7945" max="7955" width="11.42578125" style="17"/>
    <col min="7956" max="7956" width="2" style="17" bestFit="1" customWidth="1"/>
    <col min="7957" max="8195" width="11.42578125" style="17"/>
    <col min="8196" max="8196" width="7.42578125" style="17" bestFit="1" customWidth="1"/>
    <col min="8197" max="8197" width="7.85546875" style="17" customWidth="1"/>
    <col min="8198" max="8198" width="5.85546875" style="17" customWidth="1"/>
    <col min="8199" max="8199" width="4.7109375" style="17" bestFit="1" customWidth="1"/>
    <col min="8200" max="8200" width="8.140625" style="17" customWidth="1"/>
    <col min="8201" max="8211" width="11.42578125" style="17"/>
    <col min="8212" max="8212" width="2" style="17" bestFit="1" customWidth="1"/>
    <col min="8213" max="8451" width="11.42578125" style="17"/>
    <col min="8452" max="8452" width="7.42578125" style="17" bestFit="1" customWidth="1"/>
    <col min="8453" max="8453" width="7.85546875" style="17" customWidth="1"/>
    <col min="8454" max="8454" width="5.85546875" style="17" customWidth="1"/>
    <col min="8455" max="8455" width="4.7109375" style="17" bestFit="1" customWidth="1"/>
    <col min="8456" max="8456" width="8.140625" style="17" customWidth="1"/>
    <col min="8457" max="8467" width="11.42578125" style="17"/>
    <col min="8468" max="8468" width="2" style="17" bestFit="1" customWidth="1"/>
    <col min="8469" max="8707" width="11.42578125" style="17"/>
    <col min="8708" max="8708" width="7.42578125" style="17" bestFit="1" customWidth="1"/>
    <col min="8709" max="8709" width="7.85546875" style="17" customWidth="1"/>
    <col min="8710" max="8710" width="5.85546875" style="17" customWidth="1"/>
    <col min="8711" max="8711" width="4.7109375" style="17" bestFit="1" customWidth="1"/>
    <col min="8712" max="8712" width="8.140625" style="17" customWidth="1"/>
    <col min="8713" max="8723" width="11.42578125" style="17"/>
    <col min="8724" max="8724" width="2" style="17" bestFit="1" customWidth="1"/>
    <col min="8725" max="8963" width="11.42578125" style="17"/>
    <col min="8964" max="8964" width="7.42578125" style="17" bestFit="1" customWidth="1"/>
    <col min="8965" max="8965" width="7.85546875" style="17" customWidth="1"/>
    <col min="8966" max="8966" width="5.85546875" style="17" customWidth="1"/>
    <col min="8967" max="8967" width="4.7109375" style="17" bestFit="1" customWidth="1"/>
    <col min="8968" max="8968" width="8.140625" style="17" customWidth="1"/>
    <col min="8969" max="8979" width="11.42578125" style="17"/>
    <col min="8980" max="8980" width="2" style="17" bestFit="1" customWidth="1"/>
    <col min="8981" max="9219" width="11.42578125" style="17"/>
    <col min="9220" max="9220" width="7.42578125" style="17" bestFit="1" customWidth="1"/>
    <col min="9221" max="9221" width="7.85546875" style="17" customWidth="1"/>
    <col min="9222" max="9222" width="5.85546875" style="17" customWidth="1"/>
    <col min="9223" max="9223" width="4.7109375" style="17" bestFit="1" customWidth="1"/>
    <col min="9224" max="9224" width="8.140625" style="17" customWidth="1"/>
    <col min="9225" max="9235" width="11.42578125" style="17"/>
    <col min="9236" max="9236" width="2" style="17" bestFit="1" customWidth="1"/>
    <col min="9237" max="9475" width="11.42578125" style="17"/>
    <col min="9476" max="9476" width="7.42578125" style="17" bestFit="1" customWidth="1"/>
    <col min="9477" max="9477" width="7.85546875" style="17" customWidth="1"/>
    <col min="9478" max="9478" width="5.85546875" style="17" customWidth="1"/>
    <col min="9479" max="9479" width="4.7109375" style="17" bestFit="1" customWidth="1"/>
    <col min="9480" max="9480" width="8.140625" style="17" customWidth="1"/>
    <col min="9481" max="9491" width="11.42578125" style="17"/>
    <col min="9492" max="9492" width="2" style="17" bestFit="1" customWidth="1"/>
    <col min="9493" max="9731" width="11.42578125" style="17"/>
    <col min="9732" max="9732" width="7.42578125" style="17" bestFit="1" customWidth="1"/>
    <col min="9733" max="9733" width="7.85546875" style="17" customWidth="1"/>
    <col min="9734" max="9734" width="5.85546875" style="17" customWidth="1"/>
    <col min="9735" max="9735" width="4.7109375" style="17" bestFit="1" customWidth="1"/>
    <col min="9736" max="9736" width="8.140625" style="17" customWidth="1"/>
    <col min="9737" max="9747" width="11.42578125" style="17"/>
    <col min="9748" max="9748" width="2" style="17" bestFit="1" customWidth="1"/>
    <col min="9749" max="9987" width="11.42578125" style="17"/>
    <col min="9988" max="9988" width="7.42578125" style="17" bestFit="1" customWidth="1"/>
    <col min="9989" max="9989" width="7.85546875" style="17" customWidth="1"/>
    <col min="9990" max="9990" width="5.85546875" style="17" customWidth="1"/>
    <col min="9991" max="9991" width="4.7109375" style="17" bestFit="1" customWidth="1"/>
    <col min="9992" max="9992" width="8.140625" style="17" customWidth="1"/>
    <col min="9993" max="10003" width="11.42578125" style="17"/>
    <col min="10004" max="10004" width="2" style="17" bestFit="1" customWidth="1"/>
    <col min="10005" max="10243" width="11.42578125" style="17"/>
    <col min="10244" max="10244" width="7.42578125" style="17" bestFit="1" customWidth="1"/>
    <col min="10245" max="10245" width="7.85546875" style="17" customWidth="1"/>
    <col min="10246" max="10246" width="5.85546875" style="17" customWidth="1"/>
    <col min="10247" max="10247" width="4.7109375" style="17" bestFit="1" customWidth="1"/>
    <col min="10248" max="10248" width="8.140625" style="17" customWidth="1"/>
    <col min="10249" max="10259" width="11.42578125" style="17"/>
    <col min="10260" max="10260" width="2" style="17" bestFit="1" customWidth="1"/>
    <col min="10261" max="10499" width="11.42578125" style="17"/>
    <col min="10500" max="10500" width="7.42578125" style="17" bestFit="1" customWidth="1"/>
    <col min="10501" max="10501" width="7.85546875" style="17" customWidth="1"/>
    <col min="10502" max="10502" width="5.85546875" style="17" customWidth="1"/>
    <col min="10503" max="10503" width="4.7109375" style="17" bestFit="1" customWidth="1"/>
    <col min="10504" max="10504" width="8.140625" style="17" customWidth="1"/>
    <col min="10505" max="10515" width="11.42578125" style="17"/>
    <col min="10516" max="10516" width="2" style="17" bestFit="1" customWidth="1"/>
    <col min="10517" max="10755" width="11.42578125" style="17"/>
    <col min="10756" max="10756" width="7.42578125" style="17" bestFit="1" customWidth="1"/>
    <col min="10757" max="10757" width="7.85546875" style="17" customWidth="1"/>
    <col min="10758" max="10758" width="5.85546875" style="17" customWidth="1"/>
    <col min="10759" max="10759" width="4.7109375" style="17" bestFit="1" customWidth="1"/>
    <col min="10760" max="10760" width="8.140625" style="17" customWidth="1"/>
    <col min="10761" max="10771" width="11.42578125" style="17"/>
    <col min="10772" max="10772" width="2" style="17" bestFit="1" customWidth="1"/>
    <col min="10773" max="11011" width="11.42578125" style="17"/>
    <col min="11012" max="11012" width="7.42578125" style="17" bestFit="1" customWidth="1"/>
    <col min="11013" max="11013" width="7.85546875" style="17" customWidth="1"/>
    <col min="11014" max="11014" width="5.85546875" style="17" customWidth="1"/>
    <col min="11015" max="11015" width="4.7109375" style="17" bestFit="1" customWidth="1"/>
    <col min="11016" max="11016" width="8.140625" style="17" customWidth="1"/>
    <col min="11017" max="11027" width="11.42578125" style="17"/>
    <col min="11028" max="11028" width="2" style="17" bestFit="1" customWidth="1"/>
    <col min="11029" max="11267" width="11.42578125" style="17"/>
    <col min="11268" max="11268" width="7.42578125" style="17" bestFit="1" customWidth="1"/>
    <col min="11269" max="11269" width="7.85546875" style="17" customWidth="1"/>
    <col min="11270" max="11270" width="5.85546875" style="17" customWidth="1"/>
    <col min="11271" max="11271" width="4.7109375" style="17" bestFit="1" customWidth="1"/>
    <col min="11272" max="11272" width="8.140625" style="17" customWidth="1"/>
    <col min="11273" max="11283" width="11.42578125" style="17"/>
    <col min="11284" max="11284" width="2" style="17" bestFit="1" customWidth="1"/>
    <col min="11285" max="11523" width="11.42578125" style="17"/>
    <col min="11524" max="11524" width="7.42578125" style="17" bestFit="1" customWidth="1"/>
    <col min="11525" max="11525" width="7.85546875" style="17" customWidth="1"/>
    <col min="11526" max="11526" width="5.85546875" style="17" customWidth="1"/>
    <col min="11527" max="11527" width="4.7109375" style="17" bestFit="1" customWidth="1"/>
    <col min="11528" max="11528" width="8.140625" style="17" customWidth="1"/>
    <col min="11529" max="11539" width="11.42578125" style="17"/>
    <col min="11540" max="11540" width="2" style="17" bestFit="1" customWidth="1"/>
    <col min="11541" max="11779" width="11.42578125" style="17"/>
    <col min="11780" max="11780" width="7.42578125" style="17" bestFit="1" customWidth="1"/>
    <col min="11781" max="11781" width="7.85546875" style="17" customWidth="1"/>
    <col min="11782" max="11782" width="5.85546875" style="17" customWidth="1"/>
    <col min="11783" max="11783" width="4.7109375" style="17" bestFit="1" customWidth="1"/>
    <col min="11784" max="11784" width="8.140625" style="17" customWidth="1"/>
    <col min="11785" max="11795" width="11.42578125" style="17"/>
    <col min="11796" max="11796" width="2" style="17" bestFit="1" customWidth="1"/>
    <col min="11797" max="12035" width="11.42578125" style="17"/>
    <col min="12036" max="12036" width="7.42578125" style="17" bestFit="1" customWidth="1"/>
    <col min="12037" max="12037" width="7.85546875" style="17" customWidth="1"/>
    <col min="12038" max="12038" width="5.85546875" style="17" customWidth="1"/>
    <col min="12039" max="12039" width="4.7109375" style="17" bestFit="1" customWidth="1"/>
    <col min="12040" max="12040" width="8.140625" style="17" customWidth="1"/>
    <col min="12041" max="12051" width="11.42578125" style="17"/>
    <col min="12052" max="12052" width="2" style="17" bestFit="1" customWidth="1"/>
    <col min="12053" max="12291" width="11.42578125" style="17"/>
    <col min="12292" max="12292" width="7.42578125" style="17" bestFit="1" customWidth="1"/>
    <col min="12293" max="12293" width="7.85546875" style="17" customWidth="1"/>
    <col min="12294" max="12294" width="5.85546875" style="17" customWidth="1"/>
    <col min="12295" max="12295" width="4.7109375" style="17" bestFit="1" customWidth="1"/>
    <col min="12296" max="12296" width="8.140625" style="17" customWidth="1"/>
    <col min="12297" max="12307" width="11.42578125" style="17"/>
    <col min="12308" max="12308" width="2" style="17" bestFit="1" customWidth="1"/>
    <col min="12309" max="12547" width="11.42578125" style="17"/>
    <col min="12548" max="12548" width="7.42578125" style="17" bestFit="1" customWidth="1"/>
    <col min="12549" max="12549" width="7.85546875" style="17" customWidth="1"/>
    <col min="12550" max="12550" width="5.85546875" style="17" customWidth="1"/>
    <col min="12551" max="12551" width="4.7109375" style="17" bestFit="1" customWidth="1"/>
    <col min="12552" max="12552" width="8.140625" style="17" customWidth="1"/>
    <col min="12553" max="12563" width="11.42578125" style="17"/>
    <col min="12564" max="12564" width="2" style="17" bestFit="1" customWidth="1"/>
    <col min="12565" max="12803" width="11.42578125" style="17"/>
    <col min="12804" max="12804" width="7.42578125" style="17" bestFit="1" customWidth="1"/>
    <col min="12805" max="12805" width="7.85546875" style="17" customWidth="1"/>
    <col min="12806" max="12806" width="5.85546875" style="17" customWidth="1"/>
    <col min="12807" max="12807" width="4.7109375" style="17" bestFit="1" customWidth="1"/>
    <col min="12808" max="12808" width="8.140625" style="17" customWidth="1"/>
    <col min="12809" max="12819" width="11.42578125" style="17"/>
    <col min="12820" max="12820" width="2" style="17" bestFit="1" customWidth="1"/>
    <col min="12821" max="13059" width="11.42578125" style="17"/>
    <col min="13060" max="13060" width="7.42578125" style="17" bestFit="1" customWidth="1"/>
    <col min="13061" max="13061" width="7.85546875" style="17" customWidth="1"/>
    <col min="13062" max="13062" width="5.85546875" style="17" customWidth="1"/>
    <col min="13063" max="13063" width="4.7109375" style="17" bestFit="1" customWidth="1"/>
    <col min="13064" max="13064" width="8.140625" style="17" customWidth="1"/>
    <col min="13065" max="13075" width="11.42578125" style="17"/>
    <col min="13076" max="13076" width="2" style="17" bestFit="1" customWidth="1"/>
    <col min="13077" max="13315" width="11.42578125" style="17"/>
    <col min="13316" max="13316" width="7.42578125" style="17" bestFit="1" customWidth="1"/>
    <col min="13317" max="13317" width="7.85546875" style="17" customWidth="1"/>
    <col min="13318" max="13318" width="5.85546875" style="17" customWidth="1"/>
    <col min="13319" max="13319" width="4.7109375" style="17" bestFit="1" customWidth="1"/>
    <col min="13320" max="13320" width="8.140625" style="17" customWidth="1"/>
    <col min="13321" max="13331" width="11.42578125" style="17"/>
    <col min="13332" max="13332" width="2" style="17" bestFit="1" customWidth="1"/>
    <col min="13333" max="13571" width="11.42578125" style="17"/>
    <col min="13572" max="13572" width="7.42578125" style="17" bestFit="1" customWidth="1"/>
    <col min="13573" max="13573" width="7.85546875" style="17" customWidth="1"/>
    <col min="13574" max="13574" width="5.85546875" style="17" customWidth="1"/>
    <col min="13575" max="13575" width="4.7109375" style="17" bestFit="1" customWidth="1"/>
    <col min="13576" max="13576" width="8.140625" style="17" customWidth="1"/>
    <col min="13577" max="13587" width="11.42578125" style="17"/>
    <col min="13588" max="13588" width="2" style="17" bestFit="1" customWidth="1"/>
    <col min="13589" max="13827" width="11.42578125" style="17"/>
    <col min="13828" max="13828" width="7.42578125" style="17" bestFit="1" customWidth="1"/>
    <col min="13829" max="13829" width="7.85546875" style="17" customWidth="1"/>
    <col min="13830" max="13830" width="5.85546875" style="17" customWidth="1"/>
    <col min="13831" max="13831" width="4.7109375" style="17" bestFit="1" customWidth="1"/>
    <col min="13832" max="13832" width="8.140625" style="17" customWidth="1"/>
    <col min="13833" max="13843" width="11.42578125" style="17"/>
    <col min="13844" max="13844" width="2" style="17" bestFit="1" customWidth="1"/>
    <col min="13845" max="14083" width="11.42578125" style="17"/>
    <col min="14084" max="14084" width="7.42578125" style="17" bestFit="1" customWidth="1"/>
    <col min="14085" max="14085" width="7.85546875" style="17" customWidth="1"/>
    <col min="14086" max="14086" width="5.85546875" style="17" customWidth="1"/>
    <col min="14087" max="14087" width="4.7109375" style="17" bestFit="1" customWidth="1"/>
    <col min="14088" max="14088" width="8.140625" style="17" customWidth="1"/>
    <col min="14089" max="14099" width="11.42578125" style="17"/>
    <col min="14100" max="14100" width="2" style="17" bestFit="1" customWidth="1"/>
    <col min="14101" max="14339" width="11.42578125" style="17"/>
    <col min="14340" max="14340" width="7.42578125" style="17" bestFit="1" customWidth="1"/>
    <col min="14341" max="14341" width="7.85546875" style="17" customWidth="1"/>
    <col min="14342" max="14342" width="5.85546875" style="17" customWidth="1"/>
    <col min="14343" max="14343" width="4.7109375" style="17" bestFit="1" customWidth="1"/>
    <col min="14344" max="14344" width="8.140625" style="17" customWidth="1"/>
    <col min="14345" max="14355" width="11.42578125" style="17"/>
    <col min="14356" max="14356" width="2" style="17" bestFit="1" customWidth="1"/>
    <col min="14357" max="14595" width="11.42578125" style="17"/>
    <col min="14596" max="14596" width="7.42578125" style="17" bestFit="1" customWidth="1"/>
    <col min="14597" max="14597" width="7.85546875" style="17" customWidth="1"/>
    <col min="14598" max="14598" width="5.85546875" style="17" customWidth="1"/>
    <col min="14599" max="14599" width="4.7109375" style="17" bestFit="1" customWidth="1"/>
    <col min="14600" max="14600" width="8.140625" style="17" customWidth="1"/>
    <col min="14601" max="14611" width="11.42578125" style="17"/>
    <col min="14612" max="14612" width="2" style="17" bestFit="1" customWidth="1"/>
    <col min="14613" max="14851" width="11.42578125" style="17"/>
    <col min="14852" max="14852" width="7.42578125" style="17" bestFit="1" customWidth="1"/>
    <col min="14853" max="14853" width="7.85546875" style="17" customWidth="1"/>
    <col min="14854" max="14854" width="5.85546875" style="17" customWidth="1"/>
    <col min="14855" max="14855" width="4.7109375" style="17" bestFit="1" customWidth="1"/>
    <col min="14856" max="14856" width="8.140625" style="17" customWidth="1"/>
    <col min="14857" max="14867" width="11.42578125" style="17"/>
    <col min="14868" max="14868" width="2" style="17" bestFit="1" customWidth="1"/>
    <col min="14869" max="15107" width="11.42578125" style="17"/>
    <col min="15108" max="15108" width="7.42578125" style="17" bestFit="1" customWidth="1"/>
    <col min="15109" max="15109" width="7.85546875" style="17" customWidth="1"/>
    <col min="15110" max="15110" width="5.85546875" style="17" customWidth="1"/>
    <col min="15111" max="15111" width="4.7109375" style="17" bestFit="1" customWidth="1"/>
    <col min="15112" max="15112" width="8.140625" style="17" customWidth="1"/>
    <col min="15113" max="15123" width="11.42578125" style="17"/>
    <col min="15124" max="15124" width="2" style="17" bestFit="1" customWidth="1"/>
    <col min="15125" max="15363" width="11.42578125" style="17"/>
    <col min="15364" max="15364" width="7.42578125" style="17" bestFit="1" customWidth="1"/>
    <col min="15365" max="15365" width="7.85546875" style="17" customWidth="1"/>
    <col min="15366" max="15366" width="5.85546875" style="17" customWidth="1"/>
    <col min="15367" max="15367" width="4.7109375" style="17" bestFit="1" customWidth="1"/>
    <col min="15368" max="15368" width="8.140625" style="17" customWidth="1"/>
    <col min="15369" max="15379" width="11.42578125" style="17"/>
    <col min="15380" max="15380" width="2" style="17" bestFit="1" customWidth="1"/>
    <col min="15381" max="15619" width="11.42578125" style="17"/>
    <col min="15620" max="15620" width="7.42578125" style="17" bestFit="1" customWidth="1"/>
    <col min="15621" max="15621" width="7.85546875" style="17" customWidth="1"/>
    <col min="15622" max="15622" width="5.85546875" style="17" customWidth="1"/>
    <col min="15623" max="15623" width="4.7109375" style="17" bestFit="1" customWidth="1"/>
    <col min="15624" max="15624" width="8.140625" style="17" customWidth="1"/>
    <col min="15625" max="15635" width="11.42578125" style="17"/>
    <col min="15636" max="15636" width="2" style="17" bestFit="1" customWidth="1"/>
    <col min="15637" max="15875" width="11.42578125" style="17"/>
    <col min="15876" max="15876" width="7.42578125" style="17" bestFit="1" customWidth="1"/>
    <col min="15877" max="15877" width="7.85546875" style="17" customWidth="1"/>
    <col min="15878" max="15878" width="5.85546875" style="17" customWidth="1"/>
    <col min="15879" max="15879" width="4.7109375" style="17" bestFit="1" customWidth="1"/>
    <col min="15880" max="15880" width="8.140625" style="17" customWidth="1"/>
    <col min="15881" max="15891" width="11.42578125" style="17"/>
    <col min="15892" max="15892" width="2" style="17" bestFit="1" customWidth="1"/>
    <col min="15893" max="16131" width="11.42578125" style="17"/>
    <col min="16132" max="16132" width="7.42578125" style="17" bestFit="1" customWidth="1"/>
    <col min="16133" max="16133" width="7.85546875" style="17" customWidth="1"/>
    <col min="16134" max="16134" width="5.85546875" style="17" customWidth="1"/>
    <col min="16135" max="16135" width="4.7109375" style="17" bestFit="1" customWidth="1"/>
    <col min="16136" max="16136" width="8.140625" style="17" customWidth="1"/>
    <col min="16137" max="16147" width="11.42578125" style="17"/>
    <col min="16148" max="16148" width="2" style="17" bestFit="1" customWidth="1"/>
    <col min="16149" max="16384" width="11.42578125" style="17"/>
  </cols>
  <sheetData>
    <row r="1" spans="1:56" ht="23.25" customHeight="1" x14ac:dyDescent="0.3">
      <c r="A1" s="207" t="s">
        <v>247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O1" s="62" t="s">
        <v>22</v>
      </c>
      <c r="P1" s="63" t="s">
        <v>23</v>
      </c>
      <c r="AG1" s="208" t="s">
        <v>247</v>
      </c>
      <c r="AH1" s="209"/>
      <c r="AI1" s="209"/>
      <c r="AJ1" s="209"/>
      <c r="AK1" s="209"/>
      <c r="AL1" s="209"/>
      <c r="AM1" s="209"/>
      <c r="AN1" s="209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spans="1:56" ht="15" x14ac:dyDescent="0.25">
      <c r="F2" s="210" t="s">
        <v>191</v>
      </c>
      <c r="G2" s="211"/>
      <c r="H2" s="211"/>
      <c r="I2" s="211"/>
      <c r="J2" s="211"/>
      <c r="K2" s="211"/>
      <c r="L2" s="211"/>
      <c r="M2" s="212" t="s">
        <v>248</v>
      </c>
      <c r="O2" s="21" t="s">
        <v>25</v>
      </c>
      <c r="P2" s="22">
        <v>1.5</v>
      </c>
      <c r="Q2" s="17" t="s">
        <v>26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 ht="15.75" thickBot="1" x14ac:dyDescent="0.3">
      <c r="O3" s="21" t="s">
        <v>27</v>
      </c>
      <c r="P3" s="22">
        <v>1.25</v>
      </c>
      <c r="Q3" s="17" t="s">
        <v>28</v>
      </c>
      <c r="AG3" s="18" t="s">
        <v>249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ht="15.75" thickBot="1" x14ac:dyDescent="0.3">
      <c r="A4" s="213" t="s">
        <v>22</v>
      </c>
      <c r="B4" s="214"/>
      <c r="C4" s="214"/>
      <c r="D4" s="215" t="str">
        <f>INICIO!$C$29</f>
        <v>I</v>
      </c>
      <c r="E4" s="17" t="str">
        <f>VLOOKUP($D$4,$O$2:$Q$5,3,FALSE)</f>
        <v>Estructuras de ocupación normal</v>
      </c>
      <c r="O4" s="21" t="s">
        <v>31</v>
      </c>
      <c r="P4" s="22">
        <v>1.1000000000000001</v>
      </c>
      <c r="Q4" s="17" t="s">
        <v>32</v>
      </c>
      <c r="AG4"/>
      <c r="AH4" t="s">
        <v>250</v>
      </c>
      <c r="AI4" t="s">
        <v>251</v>
      </c>
      <c r="AJ4" t="s">
        <v>252</v>
      </c>
      <c r="AK4" t="s">
        <v>253</v>
      </c>
      <c r="AL4" t="s">
        <v>254</v>
      </c>
      <c r="AM4"/>
      <c r="AN4">
        <f t="array" ref="AN4:BD9">TRANSPOSE(AG4:AL20)</f>
        <v>0</v>
      </c>
      <c r="AO4" t="str">
        <v>CERROS</v>
      </c>
      <c r="AP4" t="str">
        <v>PIEDEMONTE_A</v>
      </c>
      <c r="AQ4" t="str">
        <v>PIEDEMONTE_B</v>
      </c>
      <c r="AR4" t="str">
        <v>PIEDEMONTE_C</v>
      </c>
      <c r="AS4" t="str">
        <v>LACUSTRE-50</v>
      </c>
      <c r="AT4" t="str">
        <v>LACUSTRE-100</v>
      </c>
      <c r="AU4" t="str">
        <v>LACUSTRE-200</v>
      </c>
      <c r="AV4" t="str">
        <v>LACUSTRE-300</v>
      </c>
      <c r="AW4" t="str">
        <v>LACUSTRE-500</v>
      </c>
      <c r="AX4" t="str">
        <v>LACUSTRE_ALUVIAL-200</v>
      </c>
      <c r="AY4" t="str">
        <v>LACUSTRE_ALUVIAL-300</v>
      </c>
      <c r="AZ4" t="str">
        <v>ALUVIAL-50</v>
      </c>
      <c r="BA4" t="str">
        <v>ALUVIAL-100</v>
      </c>
      <c r="BB4" t="str">
        <v>ALUVIAL-200</v>
      </c>
      <c r="BC4" t="str">
        <v>ALUVIAL-300</v>
      </c>
      <c r="BD4" t="str">
        <v>DEPÓSITO_LADERA</v>
      </c>
    </row>
    <row r="5" spans="1:56" ht="15.75" thickBot="1" x14ac:dyDescent="0.3">
      <c r="A5" s="170" t="s">
        <v>255</v>
      </c>
      <c r="O5" s="24" t="s">
        <v>30</v>
      </c>
      <c r="P5" s="25">
        <v>1</v>
      </c>
      <c r="Q5" s="17" t="s">
        <v>33</v>
      </c>
      <c r="AG5" s="216" t="s">
        <v>256</v>
      </c>
      <c r="AH5" s="217">
        <v>1.35</v>
      </c>
      <c r="AI5" s="217">
        <v>1.3</v>
      </c>
      <c r="AJ5" s="217">
        <v>0.62</v>
      </c>
      <c r="AK5" s="217">
        <v>3</v>
      </c>
      <c r="AL5" s="217">
        <v>0.18</v>
      </c>
      <c r="AM5"/>
      <c r="AN5" t="str">
        <v>Fa 475</v>
      </c>
      <c r="AO5">
        <v>1.35</v>
      </c>
      <c r="AP5">
        <v>1.65</v>
      </c>
      <c r="AQ5">
        <v>1.95</v>
      </c>
      <c r="AR5">
        <v>1.8</v>
      </c>
      <c r="AS5">
        <v>1.4</v>
      </c>
      <c r="AT5">
        <v>1.3</v>
      </c>
      <c r="AU5">
        <v>1.2</v>
      </c>
      <c r="AV5">
        <v>1.05</v>
      </c>
      <c r="AW5">
        <v>0.95</v>
      </c>
      <c r="AX5">
        <v>1.1000000000000001</v>
      </c>
      <c r="AY5">
        <v>1</v>
      </c>
      <c r="AZ5">
        <v>1.35</v>
      </c>
      <c r="BA5">
        <v>1.2</v>
      </c>
      <c r="BB5">
        <v>1.05</v>
      </c>
      <c r="BC5">
        <v>0.95</v>
      </c>
      <c r="BD5">
        <v>1.65</v>
      </c>
    </row>
    <row r="6" spans="1:56" s="167" customFormat="1" ht="15.75" thickBot="1" x14ac:dyDescent="0.3">
      <c r="A6" s="218"/>
      <c r="B6" s="219"/>
      <c r="N6" s="17"/>
      <c r="O6" s="17"/>
      <c r="P6" s="220" t="str">
        <f>Micro_Bogotá_ESPEC!AO4</f>
        <v>CERROS</v>
      </c>
      <c r="Q6" s="220" t="str">
        <f>Micro_Bogotá_ESPEC!AP4</f>
        <v>PIEDEMONTE_A</v>
      </c>
      <c r="R6" s="220" t="str">
        <f>Micro_Bogotá_ESPEC!AQ4</f>
        <v>PIEDEMONTE_B</v>
      </c>
      <c r="S6" s="220" t="str">
        <f>Micro_Bogotá_ESPEC!AR4</f>
        <v>PIEDEMONTE_C</v>
      </c>
      <c r="T6" s="220" t="str">
        <f>Micro_Bogotá_ESPEC!AS4</f>
        <v>LACUSTRE-50</v>
      </c>
      <c r="U6" s="220" t="str">
        <f>Micro_Bogotá_ESPEC!AT4</f>
        <v>LACUSTRE-100</v>
      </c>
      <c r="V6" s="220" t="str">
        <f>Micro_Bogotá_ESPEC!AU4</f>
        <v>LACUSTRE-200</v>
      </c>
      <c r="W6" s="220" t="str">
        <f>Micro_Bogotá_ESPEC!AV4</f>
        <v>LACUSTRE-300</v>
      </c>
      <c r="X6" s="220" t="str">
        <f>Micro_Bogotá_ESPEC!AW4</f>
        <v>LACUSTRE-500</v>
      </c>
      <c r="Y6" s="220" t="str">
        <f>Micro_Bogotá_ESPEC!AX4</f>
        <v>LACUSTRE_ALUVIAL-200</v>
      </c>
      <c r="Z6" s="220" t="str">
        <f>Micro_Bogotá_ESPEC!AY4</f>
        <v>LACUSTRE_ALUVIAL-300</v>
      </c>
      <c r="AA6" s="220" t="str">
        <f>Micro_Bogotá_ESPEC!AZ4</f>
        <v>ALUVIAL-50</v>
      </c>
      <c r="AB6" s="220" t="str">
        <f>Micro_Bogotá_ESPEC!BA4</f>
        <v>ALUVIAL-100</v>
      </c>
      <c r="AC6" s="220" t="str">
        <f>Micro_Bogotá_ESPEC!BB4</f>
        <v>ALUVIAL-200</v>
      </c>
      <c r="AD6" s="220" t="str">
        <f>Micro_Bogotá_ESPEC!BC4</f>
        <v>ALUVIAL-300</v>
      </c>
      <c r="AE6" s="220" t="str">
        <f>Micro_Bogotá_ESPEC!BD4</f>
        <v>DEPÓSITO_LADERA</v>
      </c>
      <c r="AG6" s="221" t="s">
        <v>257</v>
      </c>
      <c r="AH6" s="222">
        <v>1.65</v>
      </c>
      <c r="AI6" s="222">
        <v>2</v>
      </c>
      <c r="AJ6" s="222">
        <v>0.78</v>
      </c>
      <c r="AK6" s="222">
        <v>3</v>
      </c>
      <c r="AL6" s="222">
        <v>0.22</v>
      </c>
      <c r="AM6"/>
      <c r="AN6" t="str">
        <v>Fv 475</v>
      </c>
      <c r="AO6">
        <v>1.3</v>
      </c>
      <c r="AP6">
        <v>2</v>
      </c>
      <c r="AQ6">
        <v>1.7</v>
      </c>
      <c r="AR6">
        <v>1.7</v>
      </c>
      <c r="AS6">
        <v>2.9</v>
      </c>
      <c r="AT6">
        <v>3.2</v>
      </c>
      <c r="AU6">
        <v>3.5</v>
      </c>
      <c r="AV6">
        <v>2.9</v>
      </c>
      <c r="AW6">
        <v>2.7</v>
      </c>
      <c r="AX6">
        <v>2.8</v>
      </c>
      <c r="AY6">
        <v>2.5</v>
      </c>
      <c r="AZ6">
        <v>1.8</v>
      </c>
      <c r="BA6">
        <v>2.1</v>
      </c>
      <c r="BB6">
        <v>2.1</v>
      </c>
      <c r="BC6">
        <v>2.1</v>
      </c>
      <c r="BD6">
        <v>1.7</v>
      </c>
    </row>
    <row r="7" spans="1:56" ht="15.75" thickBot="1" x14ac:dyDescent="0.3">
      <c r="A7" s="54" t="s">
        <v>160</v>
      </c>
      <c r="B7" s="223">
        <f>HLOOKUP($C$7,$O$6:$AE$12,2,FALSE)</f>
        <v>8</v>
      </c>
      <c r="C7" s="224" t="s">
        <v>258</v>
      </c>
      <c r="D7" s="225"/>
      <c r="E7" s="225"/>
      <c r="F7" s="226"/>
      <c r="N7" s="227" t="s">
        <v>236</v>
      </c>
      <c r="O7" s="174"/>
      <c r="P7" s="175">
        <v>1</v>
      </c>
      <c r="Q7" s="175">
        <v>2</v>
      </c>
      <c r="R7" s="175">
        <v>3</v>
      </c>
      <c r="S7" s="175">
        <v>4</v>
      </c>
      <c r="T7" s="175">
        <v>5</v>
      </c>
      <c r="U7" s="175">
        <v>6</v>
      </c>
      <c r="V7" s="175">
        <v>7</v>
      </c>
      <c r="W7" s="175">
        <v>8</v>
      </c>
      <c r="X7" s="175">
        <v>9</v>
      </c>
      <c r="Y7" s="175">
        <v>10</v>
      </c>
      <c r="Z7" s="175">
        <v>11</v>
      </c>
      <c r="AA7" s="175">
        <v>12</v>
      </c>
      <c r="AB7" s="175">
        <v>13</v>
      </c>
      <c r="AC7" s="175">
        <v>14</v>
      </c>
      <c r="AD7" s="175">
        <v>15</v>
      </c>
      <c r="AE7" s="175">
        <v>16</v>
      </c>
      <c r="AG7" s="221" t="s">
        <v>259</v>
      </c>
      <c r="AH7" s="222">
        <v>1.95</v>
      </c>
      <c r="AI7" s="222">
        <v>1.7</v>
      </c>
      <c r="AJ7" s="222">
        <v>0.56000000000000005</v>
      </c>
      <c r="AK7" s="222">
        <v>3</v>
      </c>
      <c r="AL7" s="222">
        <v>0.26</v>
      </c>
      <c r="AM7"/>
      <c r="AN7" t="str">
        <v>Tc (s)</v>
      </c>
      <c r="AO7">
        <v>0.62</v>
      </c>
      <c r="AP7">
        <v>0.78</v>
      </c>
      <c r="AQ7">
        <v>0.56000000000000005</v>
      </c>
      <c r="AR7">
        <v>0.6</v>
      </c>
      <c r="AS7">
        <v>1.33</v>
      </c>
      <c r="AT7">
        <v>1.58</v>
      </c>
      <c r="AU7">
        <v>1.87</v>
      </c>
      <c r="AV7">
        <v>1.77</v>
      </c>
      <c r="AW7">
        <v>1.82</v>
      </c>
      <c r="AX7">
        <v>1.63</v>
      </c>
      <c r="AY7">
        <v>1.6</v>
      </c>
      <c r="AZ7">
        <v>0.85</v>
      </c>
      <c r="BA7">
        <v>1.1200000000000001</v>
      </c>
      <c r="BB7">
        <v>1.28</v>
      </c>
      <c r="BC7">
        <v>1.41</v>
      </c>
      <c r="BD7">
        <v>0.66</v>
      </c>
    </row>
    <row r="8" spans="1:56" ht="15.75" customHeight="1" thickBot="1" x14ac:dyDescent="0.3">
      <c r="N8" s="228"/>
      <c r="O8" s="182" t="s">
        <v>238</v>
      </c>
      <c r="P8" s="183">
        <f t="shared" ref="P8:AE8" si="0">ROUND(0.48*AvBOG/AaBOG*P12/P11,2)</f>
        <v>0.62</v>
      </c>
      <c r="Q8" s="184">
        <f t="shared" si="0"/>
        <v>0.78</v>
      </c>
      <c r="R8" s="184">
        <f t="shared" si="0"/>
        <v>0.56000000000000005</v>
      </c>
      <c r="S8" s="184">
        <f t="shared" si="0"/>
        <v>0.6</v>
      </c>
      <c r="T8" s="184">
        <f t="shared" si="0"/>
        <v>1.33</v>
      </c>
      <c r="U8" s="184">
        <f t="shared" si="0"/>
        <v>1.58</v>
      </c>
      <c r="V8" s="184">
        <f t="shared" si="0"/>
        <v>1.87</v>
      </c>
      <c r="W8" s="184">
        <f t="shared" si="0"/>
        <v>1.77</v>
      </c>
      <c r="X8" s="184">
        <f t="shared" si="0"/>
        <v>1.82</v>
      </c>
      <c r="Y8" s="184">
        <f t="shared" si="0"/>
        <v>1.63</v>
      </c>
      <c r="Z8" s="184">
        <f t="shared" si="0"/>
        <v>1.6</v>
      </c>
      <c r="AA8" s="184">
        <f t="shared" si="0"/>
        <v>0.85</v>
      </c>
      <c r="AB8" s="184">
        <f t="shared" si="0"/>
        <v>1.1200000000000001</v>
      </c>
      <c r="AC8" s="184">
        <f t="shared" si="0"/>
        <v>1.28</v>
      </c>
      <c r="AD8" s="184">
        <f t="shared" si="0"/>
        <v>1.41</v>
      </c>
      <c r="AE8" s="185">
        <f t="shared" si="0"/>
        <v>0.66</v>
      </c>
      <c r="AG8" s="221" t="s">
        <v>260</v>
      </c>
      <c r="AH8" s="222">
        <v>1.8</v>
      </c>
      <c r="AI8" s="222">
        <v>1.7</v>
      </c>
      <c r="AJ8" s="222">
        <v>0.6</v>
      </c>
      <c r="AK8" s="222">
        <v>3</v>
      </c>
      <c r="AL8" s="222">
        <v>0.24</v>
      </c>
      <c r="AM8"/>
      <c r="AN8" t="str">
        <v>TL (s)</v>
      </c>
      <c r="AO8">
        <v>3</v>
      </c>
      <c r="AP8">
        <v>3</v>
      </c>
      <c r="AQ8">
        <v>3</v>
      </c>
      <c r="AR8">
        <v>3</v>
      </c>
      <c r="AS8">
        <v>4</v>
      </c>
      <c r="AT8">
        <v>4</v>
      </c>
      <c r="AU8">
        <v>4</v>
      </c>
      <c r="AV8">
        <v>5</v>
      </c>
      <c r="AW8">
        <v>5</v>
      </c>
      <c r="AX8">
        <v>4</v>
      </c>
      <c r="AY8">
        <v>5</v>
      </c>
      <c r="AZ8">
        <v>3.5</v>
      </c>
      <c r="BA8">
        <v>3.5</v>
      </c>
      <c r="BB8">
        <v>3.5</v>
      </c>
      <c r="BC8">
        <v>3.5</v>
      </c>
      <c r="BD8">
        <v>3</v>
      </c>
    </row>
    <row r="9" spans="1:56" ht="15" customHeight="1" thickBot="1" x14ac:dyDescent="0.3">
      <c r="A9" s="229" t="s">
        <v>261</v>
      </c>
      <c r="B9" s="230">
        <f>HLOOKUP($B$7,$O$7:$AE$14,4,FALSE)</f>
        <v>0.16</v>
      </c>
      <c r="D9" s="229" t="s">
        <v>201</v>
      </c>
      <c r="E9" s="230">
        <f>HLOOKUP($B$7,$O$7:$AE$14,2,FALSE)</f>
        <v>1.77</v>
      </c>
      <c r="G9" s="229" t="s">
        <v>193</v>
      </c>
      <c r="H9" s="230">
        <v>0.15</v>
      </c>
      <c r="N9" s="228"/>
      <c r="O9" s="182" t="s">
        <v>239</v>
      </c>
      <c r="P9" s="183">
        <f>Micro_Bogotá_ESPEC!AO8</f>
        <v>3</v>
      </c>
      <c r="Q9" s="184">
        <f>Micro_Bogotá_ESPEC!AP8</f>
        <v>3</v>
      </c>
      <c r="R9" s="184">
        <f>Micro_Bogotá_ESPEC!AQ8</f>
        <v>3</v>
      </c>
      <c r="S9" s="184">
        <f>Micro_Bogotá_ESPEC!AR8</f>
        <v>3</v>
      </c>
      <c r="T9" s="184">
        <f>Micro_Bogotá_ESPEC!AS8</f>
        <v>4</v>
      </c>
      <c r="U9" s="184">
        <f>Micro_Bogotá_ESPEC!AT8</f>
        <v>4</v>
      </c>
      <c r="V9" s="184">
        <f>Micro_Bogotá_ESPEC!AU8</f>
        <v>4</v>
      </c>
      <c r="W9" s="184">
        <f>Micro_Bogotá_ESPEC!AV8</f>
        <v>5</v>
      </c>
      <c r="X9" s="184">
        <f>Micro_Bogotá_ESPEC!AW8</f>
        <v>5</v>
      </c>
      <c r="Y9" s="184">
        <f>Micro_Bogotá_ESPEC!AX8</f>
        <v>4</v>
      </c>
      <c r="Z9" s="184">
        <f>Micro_Bogotá_ESPEC!AY8</f>
        <v>5</v>
      </c>
      <c r="AA9" s="184">
        <f>Micro_Bogotá_ESPEC!AZ8</f>
        <v>3.5</v>
      </c>
      <c r="AB9" s="184">
        <f>Micro_Bogotá_ESPEC!BA8</f>
        <v>3.5</v>
      </c>
      <c r="AC9" s="184">
        <f>Micro_Bogotá_ESPEC!BB8</f>
        <v>3.5</v>
      </c>
      <c r="AD9" s="184">
        <f>Micro_Bogotá_ESPEC!BC8</f>
        <v>3.5</v>
      </c>
      <c r="AE9" s="185">
        <f>Micro_Bogotá_ESPEC!BD8</f>
        <v>3</v>
      </c>
      <c r="AG9" s="221" t="s">
        <v>262</v>
      </c>
      <c r="AH9" s="222">
        <v>1.4</v>
      </c>
      <c r="AI9" s="222">
        <v>2.9</v>
      </c>
      <c r="AJ9" s="222">
        <v>1.33</v>
      </c>
      <c r="AK9" s="222">
        <v>4</v>
      </c>
      <c r="AL9" s="222">
        <v>0.21</v>
      </c>
      <c r="AM9"/>
      <c r="AN9" t="str">
        <v>A0 475 (g)</v>
      </c>
      <c r="AO9">
        <v>0.18</v>
      </c>
      <c r="AP9">
        <v>0.22</v>
      </c>
      <c r="AQ9">
        <v>0.26</v>
      </c>
      <c r="AR9">
        <v>0.24</v>
      </c>
      <c r="AS9">
        <v>0.21</v>
      </c>
      <c r="AT9">
        <v>0.2</v>
      </c>
      <c r="AU9">
        <v>0.18</v>
      </c>
      <c r="AV9">
        <v>0.16</v>
      </c>
      <c r="AW9">
        <v>0.14000000000000001</v>
      </c>
      <c r="AX9">
        <v>0.17</v>
      </c>
      <c r="AY9">
        <v>0.15</v>
      </c>
      <c r="AZ9">
        <v>0.2</v>
      </c>
      <c r="BA9">
        <v>0.18</v>
      </c>
      <c r="BB9">
        <v>0.16</v>
      </c>
      <c r="BC9">
        <v>0.14000000000000001</v>
      </c>
      <c r="BD9">
        <v>0.22</v>
      </c>
    </row>
    <row r="10" spans="1:56" ht="15.75" customHeight="1" thickBot="1" x14ac:dyDescent="0.3">
      <c r="A10" s="231" t="s">
        <v>196</v>
      </c>
      <c r="B10" s="232">
        <f>HLOOKUP($B$7,$O$7:$AE$14,5,FALSE)</f>
        <v>1.05</v>
      </c>
      <c r="D10" s="233" t="s">
        <v>203</v>
      </c>
      <c r="E10" s="234">
        <f>HLOOKUP($B$7,$O$7:$AE$14,3,FALSE)</f>
        <v>5</v>
      </c>
      <c r="G10" s="233" t="s">
        <v>194</v>
      </c>
      <c r="H10" s="234">
        <v>0.2</v>
      </c>
      <c r="N10" s="228"/>
      <c r="O10" s="182" t="s">
        <v>263</v>
      </c>
      <c r="P10" s="183">
        <f>Micro_Bogotá_ESPEC!AO9</f>
        <v>0.18</v>
      </c>
      <c r="Q10" s="184">
        <f>Micro_Bogotá_ESPEC!AP9</f>
        <v>0.22</v>
      </c>
      <c r="R10" s="184">
        <f>Micro_Bogotá_ESPEC!AQ9</f>
        <v>0.26</v>
      </c>
      <c r="S10" s="184">
        <f>Micro_Bogotá_ESPEC!AR9</f>
        <v>0.24</v>
      </c>
      <c r="T10" s="184">
        <f>Micro_Bogotá_ESPEC!AS9</f>
        <v>0.21</v>
      </c>
      <c r="U10" s="184">
        <f>Micro_Bogotá_ESPEC!AT9</f>
        <v>0.2</v>
      </c>
      <c r="V10" s="184">
        <f>Micro_Bogotá_ESPEC!AU9</f>
        <v>0.18</v>
      </c>
      <c r="W10" s="184">
        <f>Micro_Bogotá_ESPEC!AV9</f>
        <v>0.16</v>
      </c>
      <c r="X10" s="184">
        <f>Micro_Bogotá_ESPEC!AW9</f>
        <v>0.14000000000000001</v>
      </c>
      <c r="Y10" s="184">
        <f>Micro_Bogotá_ESPEC!AX9</f>
        <v>0.17</v>
      </c>
      <c r="Z10" s="184">
        <f>Micro_Bogotá_ESPEC!AY9</f>
        <v>0.15</v>
      </c>
      <c r="AA10" s="184">
        <f>Micro_Bogotá_ESPEC!AZ9</f>
        <v>0.2</v>
      </c>
      <c r="AB10" s="184">
        <f>Micro_Bogotá_ESPEC!BA9</f>
        <v>0.18</v>
      </c>
      <c r="AC10" s="184">
        <f>Micro_Bogotá_ESPEC!BB9</f>
        <v>0.16</v>
      </c>
      <c r="AD10" s="184">
        <f>Micro_Bogotá_ESPEC!BC9</f>
        <v>0.14000000000000001</v>
      </c>
      <c r="AE10" s="185">
        <f>Micro_Bogotá_ESPEC!BD9</f>
        <v>0.22</v>
      </c>
      <c r="AG10" s="221" t="s">
        <v>264</v>
      </c>
      <c r="AH10" s="222">
        <v>1.3</v>
      </c>
      <c r="AI10" s="222">
        <v>3.2</v>
      </c>
      <c r="AJ10" s="222">
        <v>1.58</v>
      </c>
      <c r="AK10" s="222">
        <v>4</v>
      </c>
      <c r="AL10" s="222">
        <v>0.2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 ht="15.75" customHeight="1" thickBot="1" x14ac:dyDescent="0.3">
      <c r="A11" s="233" t="s">
        <v>200</v>
      </c>
      <c r="B11" s="234">
        <f>HLOOKUP($B$7,$O$7:$AE$14,6,FALSE)</f>
        <v>2.9</v>
      </c>
      <c r="D11" s="235" t="s">
        <v>202</v>
      </c>
      <c r="E11" s="236">
        <f>VLOOKUP($D$4,$O$2:$P$5,2,FALSE)</f>
        <v>1</v>
      </c>
      <c r="N11" s="228"/>
      <c r="O11" s="182" t="s">
        <v>241</v>
      </c>
      <c r="P11" s="183">
        <f>Micro_Bogotá_ESPEC!AO5</f>
        <v>1.35</v>
      </c>
      <c r="Q11" s="184">
        <f>Micro_Bogotá_ESPEC!AP5</f>
        <v>1.65</v>
      </c>
      <c r="R11" s="184">
        <f>Micro_Bogotá_ESPEC!AQ5</f>
        <v>1.95</v>
      </c>
      <c r="S11" s="184">
        <f>Micro_Bogotá_ESPEC!AR5</f>
        <v>1.8</v>
      </c>
      <c r="T11" s="184">
        <f>Micro_Bogotá_ESPEC!AS5</f>
        <v>1.4</v>
      </c>
      <c r="U11" s="184">
        <f>Micro_Bogotá_ESPEC!AT5</f>
        <v>1.3</v>
      </c>
      <c r="V11" s="184">
        <f>Micro_Bogotá_ESPEC!AU5</f>
        <v>1.2</v>
      </c>
      <c r="W11" s="184">
        <f>Micro_Bogotá_ESPEC!AV5</f>
        <v>1.05</v>
      </c>
      <c r="X11" s="184">
        <f>Micro_Bogotá_ESPEC!AW5</f>
        <v>0.95</v>
      </c>
      <c r="Y11" s="184">
        <f>Micro_Bogotá_ESPEC!AX5</f>
        <v>1.1000000000000001</v>
      </c>
      <c r="Z11" s="184">
        <f>Micro_Bogotá_ESPEC!AY5</f>
        <v>1</v>
      </c>
      <c r="AA11" s="184">
        <f>Micro_Bogotá_ESPEC!AZ5</f>
        <v>1.35</v>
      </c>
      <c r="AB11" s="184">
        <f>Micro_Bogotá_ESPEC!BA5</f>
        <v>1.2</v>
      </c>
      <c r="AC11" s="184">
        <f>Micro_Bogotá_ESPEC!BB5</f>
        <v>1.05</v>
      </c>
      <c r="AD11" s="184">
        <f>Micro_Bogotá_ESPEC!BC5</f>
        <v>0.95</v>
      </c>
      <c r="AE11" s="185">
        <f>Micro_Bogotá_ESPEC!BD5</f>
        <v>1.65</v>
      </c>
      <c r="AG11" s="221" t="s">
        <v>265</v>
      </c>
      <c r="AH11" s="222">
        <v>1.2</v>
      </c>
      <c r="AI11" s="222">
        <v>3.5</v>
      </c>
      <c r="AJ11" s="222">
        <v>1.87</v>
      </c>
      <c r="AK11" s="222">
        <v>4</v>
      </c>
      <c r="AL11" s="222">
        <v>0.18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 ht="15.75" customHeight="1" thickBot="1" x14ac:dyDescent="0.3">
      <c r="N12" s="237"/>
      <c r="O12" s="187" t="s">
        <v>242</v>
      </c>
      <c r="P12" s="188">
        <f>Micro_Bogotá_ESPEC!AO6</f>
        <v>1.3</v>
      </c>
      <c r="Q12" s="189">
        <f>Micro_Bogotá_ESPEC!AP6</f>
        <v>2</v>
      </c>
      <c r="R12" s="189">
        <f>Micro_Bogotá_ESPEC!AQ6</f>
        <v>1.7</v>
      </c>
      <c r="S12" s="189">
        <f>Micro_Bogotá_ESPEC!AR6</f>
        <v>1.7</v>
      </c>
      <c r="T12" s="189">
        <f>Micro_Bogotá_ESPEC!AS6</f>
        <v>2.9</v>
      </c>
      <c r="U12" s="189">
        <f>Micro_Bogotá_ESPEC!AT6</f>
        <v>3.2</v>
      </c>
      <c r="V12" s="189">
        <f>Micro_Bogotá_ESPEC!AU6</f>
        <v>3.5</v>
      </c>
      <c r="W12" s="189">
        <f>Micro_Bogotá_ESPEC!AV6</f>
        <v>2.9</v>
      </c>
      <c r="X12" s="189">
        <f>Micro_Bogotá_ESPEC!AW6</f>
        <v>2.7</v>
      </c>
      <c r="Y12" s="189">
        <f>Micro_Bogotá_ESPEC!AX6</f>
        <v>2.8</v>
      </c>
      <c r="Z12" s="189">
        <f>Micro_Bogotá_ESPEC!AY6</f>
        <v>2.5</v>
      </c>
      <c r="AA12" s="189">
        <f>Micro_Bogotá_ESPEC!AZ6</f>
        <v>1.8</v>
      </c>
      <c r="AB12" s="189">
        <f>Micro_Bogotá_ESPEC!BA6</f>
        <v>2.1</v>
      </c>
      <c r="AC12" s="189">
        <f>Micro_Bogotá_ESPEC!BB6</f>
        <v>2.1</v>
      </c>
      <c r="AD12" s="189">
        <f>Micro_Bogotá_ESPEC!BC6</f>
        <v>2.1</v>
      </c>
      <c r="AE12" s="190">
        <f>Micro_Bogotá_ESPEC!BD6</f>
        <v>1.7</v>
      </c>
      <c r="AG12" s="221" t="s">
        <v>258</v>
      </c>
      <c r="AH12" s="222">
        <v>1.05</v>
      </c>
      <c r="AI12" s="222">
        <v>2.9</v>
      </c>
      <c r="AJ12" s="222">
        <v>1.77</v>
      </c>
      <c r="AK12" s="222">
        <v>5</v>
      </c>
      <c r="AL12" s="222">
        <v>0.16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 ht="15.75" thickBot="1" x14ac:dyDescent="0.3">
      <c r="AG13" s="221" t="s">
        <v>266</v>
      </c>
      <c r="AH13" s="222">
        <v>0.95</v>
      </c>
      <c r="AI13" s="222">
        <v>2.7</v>
      </c>
      <c r="AJ13" s="222">
        <v>1.82</v>
      </c>
      <c r="AK13" s="222">
        <v>5</v>
      </c>
      <c r="AL13" s="222">
        <v>0.14000000000000001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 ht="19.5" thickBot="1" x14ac:dyDescent="0.4">
      <c r="A14" s="238" t="s">
        <v>204</v>
      </c>
      <c r="B14" s="119" t="s">
        <v>205</v>
      </c>
      <c r="C14" s="119" t="s">
        <v>206</v>
      </c>
      <c r="D14" s="119" t="s">
        <v>207</v>
      </c>
      <c r="N14" s="238" t="s">
        <v>267</v>
      </c>
      <c r="O14" s="239" t="s">
        <v>268</v>
      </c>
      <c r="AG14" s="221" t="s">
        <v>269</v>
      </c>
      <c r="AH14" s="222">
        <v>1.1000000000000001</v>
      </c>
      <c r="AI14" s="222">
        <v>2.8</v>
      </c>
      <c r="AJ14" s="222">
        <v>1.63</v>
      </c>
      <c r="AK14" s="222">
        <v>4</v>
      </c>
      <c r="AL14" s="222">
        <v>0.17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 ht="15.75" thickBot="1" x14ac:dyDescent="0.3">
      <c r="A15" s="240">
        <v>0</v>
      </c>
      <c r="B15" s="122">
        <f t="shared" ref="B15:B50" si="1">IF(TBOG&lt;TcBOG,2.5*AaBOG*FaBOG*IBOG,IF(TBOG=TcBOG,2.5*AaBOG*FaBOG*IBOG,IF(AND(TBOG&gt;TcBOG,TBOG&lt;=TlBOG),1.2*AvBOG*FvBOG*IBOG/TBOG,1.2*AvBOG*FvBOG*TlBOG*IBOG/TBOG^2)))</f>
        <v>0.39375000000000004</v>
      </c>
      <c r="C15" s="122">
        <f t="shared" ref="C15:C50" si="2">IF(TBOG&gt;Ao,Rsis,(Rsis-1)*TBOG/Ao+1)</f>
        <v>1</v>
      </c>
      <c r="D15" s="122">
        <f>B15/C15</f>
        <v>0.39375000000000004</v>
      </c>
      <c r="N15" s="241">
        <v>0</v>
      </c>
      <c r="O15" s="242">
        <v>0</v>
      </c>
      <c r="U15" s="17">
        <f>A15</f>
        <v>0</v>
      </c>
      <c r="V15" s="17">
        <f>D15</f>
        <v>0.39375000000000004</v>
      </c>
      <c r="AG15" s="221" t="s">
        <v>270</v>
      </c>
      <c r="AH15" s="222">
        <v>1</v>
      </c>
      <c r="AI15" s="222">
        <v>2.5</v>
      </c>
      <c r="AJ15" s="222">
        <v>1.6</v>
      </c>
      <c r="AK15" s="222">
        <v>5</v>
      </c>
      <c r="AL15" s="222">
        <v>0.15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 ht="15.75" thickBot="1" x14ac:dyDescent="0.3">
      <c r="A16" s="243">
        <f t="shared" ref="A16:A50" si="3">IF(A15=0,Ao,IF(A15=Ao,TcBOG,IF(A15=TcBOG,TRUNC(TcBOG+0.1,1),A15+0.1)))</f>
        <v>0.16</v>
      </c>
      <c r="B16" s="125">
        <f t="shared" si="1"/>
        <v>0.39375000000000004</v>
      </c>
      <c r="C16" s="125">
        <f t="shared" si="2"/>
        <v>1.5</v>
      </c>
      <c r="D16" s="125">
        <f t="shared" ref="D16:D50" si="4">B16/C16</f>
        <v>0.26250000000000001</v>
      </c>
      <c r="N16" s="244">
        <f t="shared" ref="N16:N50" si="5">Sa/(2*PI()/TBOG)^2*9.81</f>
        <v>2.5047812450589612E-3</v>
      </c>
      <c r="O16" s="245">
        <f t="shared" ref="O16:O50" si="6">Sared/(2*PI()/TBOG)^2*9.81</f>
        <v>1.6698541633726404E-3</v>
      </c>
      <c r="U16" s="17">
        <f t="shared" ref="U16:U50" si="7">A16</f>
        <v>0.16</v>
      </c>
      <c r="V16" s="17">
        <f t="shared" ref="V16:V50" si="8">D16</f>
        <v>0.26250000000000001</v>
      </c>
      <c r="AG16" s="221" t="s">
        <v>271</v>
      </c>
      <c r="AH16" s="222">
        <v>1.35</v>
      </c>
      <c r="AI16" s="222">
        <v>1.8</v>
      </c>
      <c r="AJ16" s="222">
        <v>0.85</v>
      </c>
      <c r="AK16" s="222">
        <v>3.5</v>
      </c>
      <c r="AL16" s="222">
        <v>0.2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 ht="15.75" thickBot="1" x14ac:dyDescent="0.3">
      <c r="A17" s="243">
        <f t="shared" si="3"/>
        <v>1.77</v>
      </c>
      <c r="B17" s="125">
        <f t="shared" si="1"/>
        <v>0.39375000000000004</v>
      </c>
      <c r="C17" s="125">
        <f t="shared" si="2"/>
        <v>1.5</v>
      </c>
      <c r="D17" s="125">
        <f t="shared" si="4"/>
        <v>0.26250000000000001</v>
      </c>
      <c r="N17" s="244">
        <f t="shared" si="5"/>
        <v>0.30653238916582887</v>
      </c>
      <c r="O17" s="245">
        <f t="shared" si="6"/>
        <v>0.20435492611055256</v>
      </c>
      <c r="U17" s="17">
        <f t="shared" si="7"/>
        <v>1.77</v>
      </c>
      <c r="V17" s="17">
        <f t="shared" si="8"/>
        <v>0.26250000000000001</v>
      </c>
      <c r="AG17" s="221" t="s">
        <v>272</v>
      </c>
      <c r="AH17" s="222">
        <v>1.2</v>
      </c>
      <c r="AI17" s="222">
        <v>2.1</v>
      </c>
      <c r="AJ17" s="222">
        <v>1.1200000000000001</v>
      </c>
      <c r="AK17" s="222">
        <v>3.5</v>
      </c>
      <c r="AL17" s="222">
        <v>0.18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 ht="15.75" thickBot="1" x14ac:dyDescent="0.3">
      <c r="A18" s="243">
        <f t="shared" si="3"/>
        <v>1.8</v>
      </c>
      <c r="B18" s="125">
        <f t="shared" si="1"/>
        <v>0.3866666666666666</v>
      </c>
      <c r="C18" s="125">
        <f t="shared" si="2"/>
        <v>1.5</v>
      </c>
      <c r="D18" s="125">
        <f t="shared" si="4"/>
        <v>0.25777777777777772</v>
      </c>
      <c r="N18" s="244">
        <f t="shared" si="5"/>
        <v>0.31130852617161364</v>
      </c>
      <c r="O18" s="245">
        <f t="shared" si="6"/>
        <v>0.20753901744774242</v>
      </c>
      <c r="U18" s="17">
        <f t="shared" si="7"/>
        <v>1.8</v>
      </c>
      <c r="V18" s="17">
        <f t="shared" si="8"/>
        <v>0.25777777777777772</v>
      </c>
      <c r="AG18" s="221" t="s">
        <v>273</v>
      </c>
      <c r="AH18" s="222">
        <v>1.05</v>
      </c>
      <c r="AI18" s="222">
        <v>2.1</v>
      </c>
      <c r="AJ18" s="222">
        <v>1.28</v>
      </c>
      <c r="AK18" s="222">
        <v>3.5</v>
      </c>
      <c r="AL18" s="222">
        <v>0.16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 ht="15.75" thickBot="1" x14ac:dyDescent="0.3">
      <c r="A19" s="243">
        <f t="shared" si="3"/>
        <v>1.9000000000000001</v>
      </c>
      <c r="B19" s="125">
        <f t="shared" si="1"/>
        <v>0.36631578947368415</v>
      </c>
      <c r="C19" s="125">
        <f t="shared" si="2"/>
        <v>1.5</v>
      </c>
      <c r="D19" s="125">
        <f t="shared" si="4"/>
        <v>0.24421052631578943</v>
      </c>
      <c r="N19" s="244">
        <f t="shared" si="5"/>
        <v>0.32860344429225891</v>
      </c>
      <c r="O19" s="245">
        <f t="shared" si="6"/>
        <v>0.21906896286150598</v>
      </c>
      <c r="U19" s="17">
        <f t="shared" si="7"/>
        <v>1.9000000000000001</v>
      </c>
      <c r="V19" s="17">
        <f t="shared" si="8"/>
        <v>0.24421052631578943</v>
      </c>
      <c r="AG19" s="221" t="s">
        <v>274</v>
      </c>
      <c r="AH19" s="222">
        <v>0.95</v>
      </c>
      <c r="AI19" s="222">
        <v>2.1</v>
      </c>
      <c r="AJ19" s="222">
        <v>1.41</v>
      </c>
      <c r="AK19" s="222">
        <v>3.5</v>
      </c>
      <c r="AL19" s="222">
        <v>0.14000000000000001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 ht="15.75" thickBot="1" x14ac:dyDescent="0.3">
      <c r="A20" s="243">
        <f t="shared" si="3"/>
        <v>2</v>
      </c>
      <c r="B20" s="125">
        <f t="shared" si="1"/>
        <v>0.34799999999999998</v>
      </c>
      <c r="C20" s="125">
        <f t="shared" si="2"/>
        <v>1.5</v>
      </c>
      <c r="D20" s="125">
        <f t="shared" si="4"/>
        <v>0.23199999999999998</v>
      </c>
      <c r="N20" s="244">
        <f t="shared" si="5"/>
        <v>0.34589836241290406</v>
      </c>
      <c r="O20" s="245">
        <f t="shared" si="6"/>
        <v>0.23059890827526938</v>
      </c>
      <c r="U20" s="17">
        <f t="shared" si="7"/>
        <v>2</v>
      </c>
      <c r="V20" s="17">
        <f t="shared" si="8"/>
        <v>0.23199999999999998</v>
      </c>
      <c r="AG20" s="221" t="s">
        <v>275</v>
      </c>
      <c r="AH20" s="222">
        <v>1.65</v>
      </c>
      <c r="AI20" s="222">
        <v>1.7</v>
      </c>
      <c r="AJ20" s="222">
        <v>0.66</v>
      </c>
      <c r="AK20" s="222">
        <v>3</v>
      </c>
      <c r="AL20" s="222">
        <v>0.22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 x14ac:dyDescent="0.2">
      <c r="A21" s="243">
        <f t="shared" si="3"/>
        <v>2.1</v>
      </c>
      <c r="B21" s="125">
        <f t="shared" si="1"/>
        <v>0.33142857142857141</v>
      </c>
      <c r="C21" s="125">
        <f t="shared" si="2"/>
        <v>1.5</v>
      </c>
      <c r="D21" s="125">
        <f t="shared" si="4"/>
        <v>0.22095238095238093</v>
      </c>
      <c r="N21" s="244">
        <f t="shared" si="5"/>
        <v>0.36319328053354932</v>
      </c>
      <c r="O21" s="245">
        <f t="shared" si="6"/>
        <v>0.24212885368903284</v>
      </c>
      <c r="U21" s="17">
        <f t="shared" si="7"/>
        <v>2.1</v>
      </c>
      <c r="V21" s="17">
        <f t="shared" si="8"/>
        <v>0.22095238095238093</v>
      </c>
    </row>
    <row r="22" spans="1:56" x14ac:dyDescent="0.2">
      <c r="A22" s="243">
        <f t="shared" si="3"/>
        <v>2.2000000000000002</v>
      </c>
      <c r="B22" s="125">
        <f t="shared" si="1"/>
        <v>0.31636363636363629</v>
      </c>
      <c r="C22" s="125">
        <f t="shared" si="2"/>
        <v>1.5</v>
      </c>
      <c r="D22" s="125">
        <f t="shared" si="4"/>
        <v>0.21090909090909085</v>
      </c>
      <c r="N22" s="244">
        <f t="shared" si="5"/>
        <v>0.38048819865419453</v>
      </c>
      <c r="O22" s="245">
        <f t="shared" si="6"/>
        <v>0.25365879910279632</v>
      </c>
      <c r="U22" s="17">
        <f t="shared" si="7"/>
        <v>2.2000000000000002</v>
      </c>
      <c r="V22" s="17">
        <f t="shared" si="8"/>
        <v>0.21090909090909085</v>
      </c>
    </row>
    <row r="23" spans="1:56" x14ac:dyDescent="0.2">
      <c r="A23" s="243">
        <f t="shared" si="3"/>
        <v>2.3000000000000003</v>
      </c>
      <c r="B23" s="125">
        <f t="shared" si="1"/>
        <v>0.30260869565217385</v>
      </c>
      <c r="C23" s="125">
        <f t="shared" si="2"/>
        <v>1.5</v>
      </c>
      <c r="D23" s="125">
        <f t="shared" si="4"/>
        <v>0.20173913043478256</v>
      </c>
      <c r="N23" s="244">
        <f t="shared" si="5"/>
        <v>0.39778311677483974</v>
      </c>
      <c r="O23" s="245">
        <f t="shared" si="6"/>
        <v>0.26518874451655983</v>
      </c>
      <c r="U23" s="17">
        <f t="shared" si="7"/>
        <v>2.3000000000000003</v>
      </c>
      <c r="V23" s="17">
        <f t="shared" si="8"/>
        <v>0.20173913043478256</v>
      </c>
    </row>
    <row r="24" spans="1:56" x14ac:dyDescent="0.2">
      <c r="A24" s="243">
        <f t="shared" si="3"/>
        <v>2.4000000000000004</v>
      </c>
      <c r="B24" s="125">
        <f t="shared" si="1"/>
        <v>0.28999999999999992</v>
      </c>
      <c r="C24" s="125">
        <f t="shared" si="2"/>
        <v>1.5</v>
      </c>
      <c r="D24" s="125">
        <f t="shared" si="4"/>
        <v>0.19333333333333327</v>
      </c>
      <c r="N24" s="244">
        <f t="shared" si="5"/>
        <v>0.41507803489548495</v>
      </c>
      <c r="O24" s="245">
        <f t="shared" si="6"/>
        <v>0.27671868993032328</v>
      </c>
      <c r="U24" s="17">
        <f t="shared" si="7"/>
        <v>2.4000000000000004</v>
      </c>
      <c r="V24" s="17">
        <f t="shared" si="8"/>
        <v>0.19333333333333327</v>
      </c>
    </row>
    <row r="25" spans="1:56" x14ac:dyDescent="0.2">
      <c r="A25" s="243">
        <f t="shared" si="3"/>
        <v>2.5000000000000004</v>
      </c>
      <c r="B25" s="125">
        <f t="shared" si="1"/>
        <v>0.27839999999999993</v>
      </c>
      <c r="C25" s="125">
        <f t="shared" si="2"/>
        <v>1.5</v>
      </c>
      <c r="D25" s="125">
        <f t="shared" si="4"/>
        <v>0.18559999999999996</v>
      </c>
      <c r="N25" s="244">
        <f t="shared" si="5"/>
        <v>0.43237295301613016</v>
      </c>
      <c r="O25" s="245">
        <f t="shared" si="6"/>
        <v>0.28824863534408679</v>
      </c>
      <c r="P25" s="246"/>
      <c r="U25" s="17">
        <f t="shared" si="7"/>
        <v>2.5000000000000004</v>
      </c>
      <c r="V25" s="17">
        <f t="shared" si="8"/>
        <v>0.18559999999999996</v>
      </c>
    </row>
    <row r="26" spans="1:56" x14ac:dyDescent="0.2">
      <c r="A26" s="243">
        <f t="shared" si="3"/>
        <v>2.6000000000000005</v>
      </c>
      <c r="B26" s="125">
        <f t="shared" si="1"/>
        <v>0.26769230769230762</v>
      </c>
      <c r="C26" s="125">
        <f t="shared" si="2"/>
        <v>1.5</v>
      </c>
      <c r="D26" s="125">
        <f t="shared" si="4"/>
        <v>0.17846153846153842</v>
      </c>
      <c r="N26" s="244">
        <f t="shared" si="5"/>
        <v>0.44966787113677531</v>
      </c>
      <c r="O26" s="245">
        <f t="shared" si="6"/>
        <v>0.29977858075785019</v>
      </c>
      <c r="U26" s="17">
        <f t="shared" si="7"/>
        <v>2.6000000000000005</v>
      </c>
      <c r="V26" s="17">
        <f t="shared" si="8"/>
        <v>0.17846153846153842</v>
      </c>
    </row>
    <row r="27" spans="1:56" x14ac:dyDescent="0.2">
      <c r="A27" s="243">
        <f t="shared" si="3"/>
        <v>2.7000000000000006</v>
      </c>
      <c r="B27" s="125">
        <f t="shared" si="1"/>
        <v>0.25777777777777772</v>
      </c>
      <c r="C27" s="125">
        <f t="shared" si="2"/>
        <v>1.5</v>
      </c>
      <c r="D27" s="125">
        <f t="shared" si="4"/>
        <v>0.17185185185185181</v>
      </c>
      <c r="N27" s="244">
        <f t="shared" si="5"/>
        <v>0.46696278925742069</v>
      </c>
      <c r="O27" s="245">
        <f t="shared" si="6"/>
        <v>0.31130852617161381</v>
      </c>
      <c r="U27" s="17">
        <f t="shared" si="7"/>
        <v>2.7000000000000006</v>
      </c>
      <c r="V27" s="17">
        <f t="shared" si="8"/>
        <v>0.17185185185185181</v>
      </c>
    </row>
    <row r="28" spans="1:56" x14ac:dyDescent="0.2">
      <c r="A28" s="243">
        <f t="shared" si="3"/>
        <v>2.8000000000000007</v>
      </c>
      <c r="B28" s="125">
        <f t="shared" si="1"/>
        <v>0.2485714285714285</v>
      </c>
      <c r="C28" s="125">
        <f t="shared" si="2"/>
        <v>1.5</v>
      </c>
      <c r="D28" s="125">
        <f t="shared" si="4"/>
        <v>0.16571428571428568</v>
      </c>
      <c r="N28" s="244">
        <f t="shared" si="5"/>
        <v>0.48425770737806584</v>
      </c>
      <c r="O28" s="245">
        <f t="shared" si="6"/>
        <v>0.32283847158537721</v>
      </c>
      <c r="U28" s="17">
        <f t="shared" si="7"/>
        <v>2.8000000000000007</v>
      </c>
      <c r="V28" s="17">
        <f t="shared" si="8"/>
        <v>0.16571428571428568</v>
      </c>
    </row>
    <row r="29" spans="1:56" x14ac:dyDescent="0.2">
      <c r="A29" s="243">
        <f t="shared" si="3"/>
        <v>2.9000000000000008</v>
      </c>
      <c r="B29" s="125">
        <f t="shared" si="1"/>
        <v>0.23999999999999991</v>
      </c>
      <c r="C29" s="125">
        <f t="shared" si="2"/>
        <v>1.5</v>
      </c>
      <c r="D29" s="125">
        <f t="shared" si="4"/>
        <v>0.15999999999999995</v>
      </c>
      <c r="N29" s="244">
        <f t="shared" si="5"/>
        <v>0.50155262549871094</v>
      </c>
      <c r="O29" s="245">
        <f t="shared" si="6"/>
        <v>0.33436841699914066</v>
      </c>
      <c r="U29" s="17">
        <f t="shared" si="7"/>
        <v>2.9000000000000008</v>
      </c>
      <c r="V29" s="17">
        <f t="shared" si="8"/>
        <v>0.15999999999999995</v>
      </c>
    </row>
    <row r="30" spans="1:56" x14ac:dyDescent="0.2">
      <c r="A30" s="243">
        <f t="shared" si="3"/>
        <v>3.0000000000000009</v>
      </c>
      <c r="B30" s="125">
        <f t="shared" si="1"/>
        <v>0.23199999999999993</v>
      </c>
      <c r="C30" s="125">
        <f t="shared" si="2"/>
        <v>1.5</v>
      </c>
      <c r="D30" s="125">
        <f t="shared" si="4"/>
        <v>0.15466666666666662</v>
      </c>
      <c r="N30" s="244">
        <f t="shared" si="5"/>
        <v>0.51884754361935637</v>
      </c>
      <c r="O30" s="245">
        <f t="shared" si="6"/>
        <v>0.34589836241290423</v>
      </c>
      <c r="U30" s="17">
        <f t="shared" si="7"/>
        <v>3.0000000000000009</v>
      </c>
      <c r="V30" s="17">
        <f t="shared" si="8"/>
        <v>0.15466666666666662</v>
      </c>
    </row>
    <row r="31" spans="1:56" x14ac:dyDescent="0.2">
      <c r="A31" s="243">
        <f t="shared" si="3"/>
        <v>3.100000000000001</v>
      </c>
      <c r="B31" s="125">
        <f t="shared" si="1"/>
        <v>0.22451612903225798</v>
      </c>
      <c r="C31" s="125">
        <f t="shared" si="2"/>
        <v>1.5</v>
      </c>
      <c r="D31" s="125">
        <f t="shared" si="4"/>
        <v>0.14967741935483866</v>
      </c>
      <c r="N31" s="244">
        <f t="shared" si="5"/>
        <v>0.53614246174000157</v>
      </c>
      <c r="O31" s="245">
        <f t="shared" si="6"/>
        <v>0.35742830782666773</v>
      </c>
      <c r="U31" s="17">
        <f t="shared" si="7"/>
        <v>3.100000000000001</v>
      </c>
      <c r="V31" s="17">
        <f t="shared" si="8"/>
        <v>0.14967741935483866</v>
      </c>
    </row>
    <row r="32" spans="1:56" x14ac:dyDescent="0.2">
      <c r="A32" s="243">
        <f t="shared" si="3"/>
        <v>3.2000000000000011</v>
      </c>
      <c r="B32" s="125">
        <f t="shared" si="1"/>
        <v>0.21749999999999992</v>
      </c>
      <c r="C32" s="125">
        <f t="shared" si="2"/>
        <v>1.5</v>
      </c>
      <c r="D32" s="125">
        <f t="shared" si="4"/>
        <v>0.14499999999999993</v>
      </c>
      <c r="N32" s="244">
        <f t="shared" si="5"/>
        <v>0.55343737986064678</v>
      </c>
      <c r="O32" s="245">
        <f t="shared" si="6"/>
        <v>0.36895825324043113</v>
      </c>
      <c r="U32" s="17">
        <f t="shared" si="7"/>
        <v>3.2000000000000011</v>
      </c>
      <c r="V32" s="17">
        <f t="shared" si="8"/>
        <v>0.14499999999999993</v>
      </c>
    </row>
    <row r="33" spans="1:22" x14ac:dyDescent="0.2">
      <c r="A33" s="243">
        <f t="shared" si="3"/>
        <v>3.3000000000000012</v>
      </c>
      <c r="B33" s="125">
        <f t="shared" si="1"/>
        <v>0.21090909090909082</v>
      </c>
      <c r="C33" s="125">
        <f t="shared" si="2"/>
        <v>1.5</v>
      </c>
      <c r="D33" s="125">
        <f t="shared" si="4"/>
        <v>0.14060606060606054</v>
      </c>
      <c r="N33" s="244">
        <f t="shared" si="5"/>
        <v>0.57073229798129188</v>
      </c>
      <c r="O33" s="245">
        <f t="shared" si="6"/>
        <v>0.38048819865419459</v>
      </c>
      <c r="U33" s="17">
        <f t="shared" si="7"/>
        <v>3.3000000000000012</v>
      </c>
      <c r="V33" s="17">
        <f t="shared" si="8"/>
        <v>0.14060606060606054</v>
      </c>
    </row>
    <row r="34" spans="1:22" x14ac:dyDescent="0.2">
      <c r="A34" s="243">
        <f t="shared" si="3"/>
        <v>3.4000000000000012</v>
      </c>
      <c r="B34" s="125">
        <f t="shared" si="1"/>
        <v>0.2047058823529411</v>
      </c>
      <c r="C34" s="125">
        <f t="shared" si="2"/>
        <v>1.5</v>
      </c>
      <c r="D34" s="125">
        <f t="shared" si="4"/>
        <v>0.13647058823529407</v>
      </c>
      <c r="N34" s="244">
        <f t="shared" si="5"/>
        <v>0.58802721610193731</v>
      </c>
      <c r="O34" s="245">
        <f t="shared" si="6"/>
        <v>0.39201814406795815</v>
      </c>
      <c r="U34" s="17">
        <f t="shared" si="7"/>
        <v>3.4000000000000012</v>
      </c>
      <c r="V34" s="17">
        <f t="shared" si="8"/>
        <v>0.13647058823529407</v>
      </c>
    </row>
    <row r="35" spans="1:22" x14ac:dyDescent="0.2">
      <c r="A35" s="243">
        <f t="shared" si="3"/>
        <v>3.5000000000000013</v>
      </c>
      <c r="B35" s="125">
        <f t="shared" si="1"/>
        <v>0.19885714285714276</v>
      </c>
      <c r="C35" s="125">
        <f t="shared" si="2"/>
        <v>1.5</v>
      </c>
      <c r="D35" s="125">
        <f t="shared" si="4"/>
        <v>0.13257142857142851</v>
      </c>
      <c r="N35" s="244">
        <f t="shared" si="5"/>
        <v>0.6053221342225823</v>
      </c>
      <c r="O35" s="245">
        <f t="shared" si="6"/>
        <v>0.40354808948172161</v>
      </c>
      <c r="U35" s="17">
        <f t="shared" si="7"/>
        <v>3.5000000000000013</v>
      </c>
      <c r="V35" s="17">
        <f t="shared" si="8"/>
        <v>0.13257142857142851</v>
      </c>
    </row>
    <row r="36" spans="1:22" x14ac:dyDescent="0.2">
      <c r="A36" s="243">
        <f t="shared" si="3"/>
        <v>3.6000000000000014</v>
      </c>
      <c r="B36" s="125">
        <f t="shared" si="1"/>
        <v>0.19333333333333325</v>
      </c>
      <c r="C36" s="125">
        <f t="shared" si="2"/>
        <v>1.5</v>
      </c>
      <c r="D36" s="125">
        <f t="shared" si="4"/>
        <v>0.12888888888888883</v>
      </c>
      <c r="N36" s="244">
        <f t="shared" si="5"/>
        <v>0.62261705234322762</v>
      </c>
      <c r="O36" s="245">
        <f t="shared" si="6"/>
        <v>0.41507803489548506</v>
      </c>
      <c r="U36" s="17">
        <f t="shared" si="7"/>
        <v>3.6000000000000014</v>
      </c>
      <c r="V36" s="17">
        <f t="shared" si="8"/>
        <v>0.12888888888888883</v>
      </c>
    </row>
    <row r="37" spans="1:22" x14ac:dyDescent="0.2">
      <c r="A37" s="243">
        <f t="shared" si="3"/>
        <v>3.7000000000000015</v>
      </c>
      <c r="B37" s="125">
        <f t="shared" si="1"/>
        <v>0.18810810810810802</v>
      </c>
      <c r="C37" s="125">
        <f t="shared" si="2"/>
        <v>1.5</v>
      </c>
      <c r="D37" s="125">
        <f t="shared" si="4"/>
        <v>0.12540540540540535</v>
      </c>
      <c r="N37" s="244">
        <f t="shared" si="5"/>
        <v>0.63991197046387271</v>
      </c>
      <c r="O37" s="245">
        <f t="shared" si="6"/>
        <v>0.42660798030924851</v>
      </c>
      <c r="U37" s="17">
        <f t="shared" si="7"/>
        <v>3.7000000000000015</v>
      </c>
      <c r="V37" s="17">
        <f t="shared" si="8"/>
        <v>0.12540540540540535</v>
      </c>
    </row>
    <row r="38" spans="1:22" x14ac:dyDescent="0.2">
      <c r="A38" s="243">
        <f t="shared" si="3"/>
        <v>3.8000000000000016</v>
      </c>
      <c r="B38" s="125">
        <f t="shared" si="1"/>
        <v>0.18315789473684202</v>
      </c>
      <c r="C38" s="125">
        <f t="shared" si="2"/>
        <v>1.5</v>
      </c>
      <c r="D38" s="125">
        <f t="shared" si="4"/>
        <v>0.12210526315789468</v>
      </c>
      <c r="N38" s="244">
        <f t="shared" si="5"/>
        <v>0.65720688858451803</v>
      </c>
      <c r="O38" s="245">
        <f t="shared" si="6"/>
        <v>0.43813792572301202</v>
      </c>
      <c r="U38" s="17">
        <f t="shared" si="7"/>
        <v>3.8000000000000016</v>
      </c>
      <c r="V38" s="17">
        <f t="shared" si="8"/>
        <v>0.12210526315789468</v>
      </c>
    </row>
    <row r="39" spans="1:22" x14ac:dyDescent="0.2">
      <c r="A39" s="243">
        <f t="shared" si="3"/>
        <v>3.9000000000000017</v>
      </c>
      <c r="B39" s="125">
        <f t="shared" si="1"/>
        <v>0.17846153846153837</v>
      </c>
      <c r="C39" s="125">
        <f t="shared" si="2"/>
        <v>1.5</v>
      </c>
      <c r="D39" s="125">
        <f t="shared" si="4"/>
        <v>0.11897435897435892</v>
      </c>
      <c r="N39" s="244">
        <f t="shared" si="5"/>
        <v>0.67450180670516324</v>
      </c>
      <c r="O39" s="245">
        <f t="shared" si="6"/>
        <v>0.44966787113677553</v>
      </c>
      <c r="U39" s="17">
        <f t="shared" si="7"/>
        <v>3.9000000000000017</v>
      </c>
      <c r="V39" s="17">
        <f t="shared" si="8"/>
        <v>0.11897435897435892</v>
      </c>
    </row>
    <row r="40" spans="1:22" ht="15" thickBot="1" x14ac:dyDescent="0.25">
      <c r="A40" s="243">
        <f t="shared" si="3"/>
        <v>4.0000000000000018</v>
      </c>
      <c r="B40" s="125">
        <f t="shared" si="1"/>
        <v>0.1739999999999999</v>
      </c>
      <c r="C40" s="125">
        <f t="shared" si="2"/>
        <v>1.5</v>
      </c>
      <c r="D40" s="125">
        <f t="shared" si="4"/>
        <v>0.11599999999999994</v>
      </c>
      <c r="N40" s="244">
        <f t="shared" si="5"/>
        <v>0.69179672482580845</v>
      </c>
      <c r="O40" s="245">
        <f t="shared" si="6"/>
        <v>0.46119781655053893</v>
      </c>
      <c r="U40" s="17">
        <f t="shared" si="7"/>
        <v>4.0000000000000018</v>
      </c>
      <c r="V40" s="17">
        <f t="shared" si="8"/>
        <v>0.11599999999999994</v>
      </c>
    </row>
    <row r="41" spans="1:22" ht="16.5" thickBot="1" x14ac:dyDescent="0.35">
      <c r="A41" s="243">
        <f t="shared" si="3"/>
        <v>4.1000000000000014</v>
      </c>
      <c r="B41" s="125">
        <f t="shared" si="1"/>
        <v>0.16975609756097554</v>
      </c>
      <c r="C41" s="125">
        <f t="shared" si="2"/>
        <v>1.5</v>
      </c>
      <c r="D41" s="125">
        <f t="shared" si="4"/>
        <v>0.11317073170731702</v>
      </c>
      <c r="G41" s="135" t="s">
        <v>212</v>
      </c>
      <c r="H41" s="136" t="s">
        <v>213</v>
      </c>
      <c r="I41" s="137" t="s">
        <v>214</v>
      </c>
      <c r="J41" s="137" t="s">
        <v>215</v>
      </c>
      <c r="K41" s="137" t="s">
        <v>216</v>
      </c>
      <c r="L41" s="137" t="s">
        <v>217</v>
      </c>
      <c r="N41" s="244">
        <f t="shared" si="5"/>
        <v>0.70909164294645355</v>
      </c>
      <c r="O41" s="245">
        <f t="shared" si="6"/>
        <v>0.47272776196430238</v>
      </c>
      <c r="U41" s="17">
        <f t="shared" si="7"/>
        <v>4.1000000000000014</v>
      </c>
      <c r="V41" s="17">
        <f t="shared" si="8"/>
        <v>0.11317073170731702</v>
      </c>
    </row>
    <row r="42" spans="1:22" ht="15" thickBot="1" x14ac:dyDescent="0.25">
      <c r="A42" s="243">
        <f t="shared" si="3"/>
        <v>4.2000000000000011</v>
      </c>
      <c r="B42" s="125">
        <f t="shared" si="1"/>
        <v>0.16571428571428565</v>
      </c>
      <c r="C42" s="125">
        <f t="shared" si="2"/>
        <v>1.5</v>
      </c>
      <c r="D42" s="125">
        <f t="shared" si="4"/>
        <v>0.11047619047619044</v>
      </c>
      <c r="F42" s="17" t="s">
        <v>218</v>
      </c>
      <c r="N42" s="244">
        <f t="shared" si="5"/>
        <v>0.72638656106709865</v>
      </c>
      <c r="O42" s="245">
        <f t="shared" si="6"/>
        <v>0.48425770737806573</v>
      </c>
      <c r="U42" s="17">
        <f t="shared" si="7"/>
        <v>4.2000000000000011</v>
      </c>
      <c r="V42" s="17">
        <f t="shared" si="8"/>
        <v>0.11047619047619044</v>
      </c>
    </row>
    <row r="43" spans="1:22" x14ac:dyDescent="0.2">
      <c r="A43" s="243">
        <f t="shared" si="3"/>
        <v>4.3000000000000007</v>
      </c>
      <c r="B43" s="125">
        <f t="shared" si="1"/>
        <v>0.16186046511627902</v>
      </c>
      <c r="C43" s="125">
        <f t="shared" si="2"/>
        <v>1.5</v>
      </c>
      <c r="D43" s="125">
        <f t="shared" si="4"/>
        <v>0.10790697674418602</v>
      </c>
      <c r="F43" s="138" t="s">
        <v>219</v>
      </c>
      <c r="G43" s="139">
        <f>'[1]CORTANTE BASAL (Y)'!$B$13</f>
        <v>0.13952055149611803</v>
      </c>
      <c r="H43" s="140">
        <f t="shared" ref="H43" si="9">IF(G43&lt;TcBOG,2.5*AaBOG*FaBOG*IBOG,IF(G43=TcBOG,2.5*AaBOG*FaBOG*IBOG,IF(AND(G43&gt;TcBOG,G43&lt;=TlBOG),1.2*AvBOG*FvBOG*IBOG/G43,1.2*AvBOG*FvBOG*TlBOG*IBOG/G43^2)))</f>
        <v>0.39375000000000004</v>
      </c>
      <c r="I43" s="141">
        <f>H43/(2*PI()/$G43)^2*9.81</f>
        <v>1.9046106392834232E-3</v>
      </c>
      <c r="J43" s="141">
        <f>IF(G43&gt;Ao,Rsis,(Rsis-1)*TBOG/Ao+1)</f>
        <v>14.437500000000002</v>
      </c>
      <c r="K43" s="141">
        <f>H43/J43</f>
        <v>2.7272727272727271E-2</v>
      </c>
      <c r="L43" s="141">
        <f>K43/(2*PI()/$G43)^2*9.81</f>
        <v>1.3192108324041024E-4</v>
      </c>
      <c r="N43" s="244">
        <f t="shared" si="5"/>
        <v>0.74368147918774385</v>
      </c>
      <c r="O43" s="245">
        <f t="shared" si="6"/>
        <v>0.49578765279182935</v>
      </c>
      <c r="U43" s="17">
        <f t="shared" si="7"/>
        <v>4.3000000000000007</v>
      </c>
      <c r="V43" s="17">
        <f t="shared" si="8"/>
        <v>0.10790697674418602</v>
      </c>
    </row>
    <row r="44" spans="1:22" x14ac:dyDescent="0.2">
      <c r="A44" s="243">
        <f t="shared" si="3"/>
        <v>4.4000000000000004</v>
      </c>
      <c r="B44" s="125">
        <f t="shared" si="1"/>
        <v>0.15818181818181815</v>
      </c>
      <c r="C44" s="125">
        <f t="shared" si="2"/>
        <v>1.5</v>
      </c>
      <c r="D44" s="125">
        <f t="shared" si="4"/>
        <v>0.10545454545454543</v>
      </c>
      <c r="N44" s="244">
        <f t="shared" si="5"/>
        <v>0.76097639730838906</v>
      </c>
      <c r="O44" s="245">
        <f t="shared" si="6"/>
        <v>0.50731759820559263</v>
      </c>
      <c r="U44" s="17">
        <f t="shared" si="7"/>
        <v>4.4000000000000004</v>
      </c>
      <c r="V44" s="17">
        <f t="shared" si="8"/>
        <v>0.10545454545454543</v>
      </c>
    </row>
    <row r="45" spans="1:22" ht="15" thickBot="1" x14ac:dyDescent="0.25">
      <c r="A45" s="243">
        <f t="shared" si="3"/>
        <v>4.5</v>
      </c>
      <c r="B45" s="125">
        <f t="shared" si="1"/>
        <v>0.15466666666666665</v>
      </c>
      <c r="C45" s="125">
        <f t="shared" si="2"/>
        <v>1.5</v>
      </c>
      <c r="D45" s="125">
        <f t="shared" si="4"/>
        <v>0.1031111111111111</v>
      </c>
      <c r="F45" s="17" t="s">
        <v>221</v>
      </c>
      <c r="N45" s="244">
        <f t="shared" si="5"/>
        <v>0.77827131542903416</v>
      </c>
      <c r="O45" s="245">
        <f t="shared" si="6"/>
        <v>0.51884754361935614</v>
      </c>
      <c r="U45" s="17">
        <f t="shared" si="7"/>
        <v>4.5</v>
      </c>
      <c r="V45" s="17">
        <f t="shared" si="8"/>
        <v>0.1031111111111111</v>
      </c>
    </row>
    <row r="46" spans="1:22" x14ac:dyDescent="0.2">
      <c r="A46" s="243">
        <f t="shared" si="3"/>
        <v>4.5999999999999996</v>
      </c>
      <c r="B46" s="125">
        <f t="shared" si="1"/>
        <v>0.15130434782608695</v>
      </c>
      <c r="C46" s="125">
        <f t="shared" si="2"/>
        <v>1.5</v>
      </c>
      <c r="D46" s="125">
        <f t="shared" si="4"/>
        <v>0.10086956521739131</v>
      </c>
      <c r="F46" s="138" t="s">
        <v>222</v>
      </c>
      <c r="G46" s="146">
        <v>0.14282900000000001</v>
      </c>
      <c r="H46" s="140">
        <f>IF(G46&lt;TcBOG,2.5*AaBOG*FaBOG*IBOG,IF(G46=TcBOG,2.5*AaBOG*FaBOG*IBOG,IF(AND(G46&gt;TcBOG,G46&lt;=TlBOG),1.2*AvBOG*FvBOG*IBOG/G46,1.2*AvBOG*FvBOG*TlBOG*IBOG/G46^2)))</f>
        <v>0.39375000000000004</v>
      </c>
      <c r="I46" s="141">
        <f>H46/(2*PI()/$G46)^2*9.81</f>
        <v>1.9960096129276652E-3</v>
      </c>
      <c r="J46" s="141">
        <f>IF(G46&gt;Ao,Rsis,(Rsis-1)*TBOG/Ao+1)</f>
        <v>15.374999999999998</v>
      </c>
      <c r="K46" s="141">
        <f t="shared" ref="K46:K49" si="10">H46/J46</f>
        <v>2.5609756097560981E-2</v>
      </c>
      <c r="L46" s="141">
        <f>K46/(2*PI()/$G46)^2*9.81</f>
        <v>1.2982176344244976E-4</v>
      </c>
      <c r="N46" s="244">
        <f t="shared" si="5"/>
        <v>0.79556623354967948</v>
      </c>
      <c r="O46" s="245">
        <f t="shared" si="6"/>
        <v>0.53037748903311965</v>
      </c>
      <c r="U46" s="17">
        <f t="shared" si="7"/>
        <v>4.5999999999999996</v>
      </c>
      <c r="V46" s="17">
        <f t="shared" si="8"/>
        <v>0.10086956521739131</v>
      </c>
    </row>
    <row r="47" spans="1:22" x14ac:dyDescent="0.2">
      <c r="A47" s="243">
        <f t="shared" si="3"/>
        <v>4.6999999999999993</v>
      </c>
      <c r="B47" s="125">
        <f t="shared" si="1"/>
        <v>0.14808510638297873</v>
      </c>
      <c r="C47" s="125">
        <f t="shared" si="2"/>
        <v>1.5</v>
      </c>
      <c r="D47" s="125">
        <f t="shared" si="4"/>
        <v>9.8723404255319155E-2</v>
      </c>
      <c r="F47" s="147" t="s">
        <v>223</v>
      </c>
      <c r="G47" s="148">
        <v>0.13900000000000001</v>
      </c>
      <c r="H47" s="149">
        <f>IF(G47&lt;TcBOG,2.5*AaBOG*FaBOG*IBOG,IF(G47=TcBOG,2.5*AaBOG*FaBOG*IBOG,IF(AND(G47&gt;TcBOG,G47&lt;=TlBOG),1.2*AvBOG*FvBOG*IBOG/G47,1.2*AvBOG*FvBOG*TlBOG*IBOG/G47^2)))</f>
        <v>0.39375000000000004</v>
      </c>
      <c r="I47" s="150">
        <f>H47/(2*PI()/$G47)^2*9.81</f>
        <v>1.8904249388978205E-3</v>
      </c>
      <c r="J47" s="150">
        <f>IF(G47&gt;Ao,Rsis,(Rsis-1)*TBOG/Ao+1)</f>
        <v>15.687499999999998</v>
      </c>
      <c r="K47" s="150">
        <f t="shared" si="10"/>
        <v>2.5099601593625502E-2</v>
      </c>
      <c r="L47" s="150">
        <f>K47/(2*PI()/$G47)^2*9.81</f>
        <v>1.2050517538790887E-4</v>
      </c>
      <c r="N47" s="244">
        <f t="shared" si="5"/>
        <v>0.81286115167032447</v>
      </c>
      <c r="O47" s="245">
        <f t="shared" si="6"/>
        <v>0.54190743444688305</v>
      </c>
      <c r="U47" s="17">
        <f t="shared" si="7"/>
        <v>4.6999999999999993</v>
      </c>
      <c r="V47" s="17">
        <f t="shared" si="8"/>
        <v>9.8723404255319155E-2</v>
      </c>
    </row>
    <row r="48" spans="1:22" x14ac:dyDescent="0.2">
      <c r="A48" s="243">
        <f t="shared" si="3"/>
        <v>4.7999999999999989</v>
      </c>
      <c r="B48" s="125">
        <f t="shared" si="1"/>
        <v>0.14500000000000002</v>
      </c>
      <c r="C48" s="125">
        <f t="shared" si="2"/>
        <v>1.5</v>
      </c>
      <c r="D48" s="125">
        <f t="shared" si="4"/>
        <v>9.6666666666666679E-2</v>
      </c>
      <c r="F48" s="147" t="s">
        <v>224</v>
      </c>
      <c r="G48" s="148">
        <v>0.13489999999999999</v>
      </c>
      <c r="H48" s="149">
        <f>IF(G48&lt;TcBOG,2.5*AaBOG*FaBOG*IBOG,IF(G48=TcBOG,2.5*AaBOG*FaBOG*IBOG,IF(AND(G48&gt;TcBOG,G48&lt;=TlBOG),1.2*AvBOG*FvBOG*IBOG/G48,1.2*AvBOG*FvBOG*TlBOG*IBOG/G48^2)))</f>
        <v>0.39375000000000004</v>
      </c>
      <c r="I48" s="150">
        <f>H48/(2*PI()/$G48)^2*9.81</f>
        <v>1.7805482088045087E-3</v>
      </c>
      <c r="J48" s="150">
        <f>IF(G48&gt;Ao,Rsis,(Rsis-1)*TBOG/Ao+1)</f>
        <v>15.999999999999996</v>
      </c>
      <c r="K48" s="150">
        <f t="shared" si="10"/>
        <v>2.460937500000001E-2</v>
      </c>
      <c r="L48" s="150">
        <f>K48/(2*PI()/$G48)^2*9.81</f>
        <v>1.1128426305028182E-4</v>
      </c>
      <c r="N48" s="244">
        <f t="shared" si="5"/>
        <v>0.83015606979096968</v>
      </c>
      <c r="O48" s="245">
        <f t="shared" si="6"/>
        <v>0.55343737986064645</v>
      </c>
      <c r="U48" s="17">
        <f t="shared" si="7"/>
        <v>4.7999999999999989</v>
      </c>
      <c r="V48" s="17">
        <f t="shared" si="8"/>
        <v>9.6666666666666679E-2</v>
      </c>
    </row>
    <row r="49" spans="1:22" ht="15" thickBot="1" x14ac:dyDescent="0.25">
      <c r="A49" s="243">
        <f t="shared" si="3"/>
        <v>4.8999999999999986</v>
      </c>
      <c r="B49" s="125">
        <f t="shared" si="1"/>
        <v>0.14204081632653065</v>
      </c>
      <c r="C49" s="125">
        <f t="shared" si="2"/>
        <v>1.5</v>
      </c>
      <c r="D49" s="125">
        <f t="shared" si="4"/>
        <v>9.4693877551020433E-2</v>
      </c>
      <c r="F49" s="142" t="s">
        <v>225</v>
      </c>
      <c r="G49" s="151">
        <v>0.13439999999999999</v>
      </c>
      <c r="H49" s="144">
        <f>IF(G49&lt;TcBOG,2.5*AaBOG*FaBOG*IBOG,IF(G49=TcBOG,2.5*AaBOG*FaBOG*IBOG,IF(AND(G49&gt;TcBOG,G49&lt;=TlBOG),1.2*AvBOG*FvBOG*IBOG/G49,1.2*AvBOG*FvBOG*TlBOG*IBOG/G49^2)))</f>
        <v>0.39375000000000004</v>
      </c>
      <c r="I49" s="145">
        <f>H49/(2*PI()/$G49)^2*9.81</f>
        <v>1.7673736465136031E-3</v>
      </c>
      <c r="J49" s="145">
        <f>IF(G49&gt;Ao,Rsis,(Rsis-1)*TBOG/Ao+1)</f>
        <v>16.312499999999993</v>
      </c>
      <c r="K49" s="145">
        <f t="shared" si="10"/>
        <v>2.4137931034482772E-2</v>
      </c>
      <c r="L49" s="145">
        <f>K49/(2*PI()/$G49)^2*9.81</f>
        <v>1.0834474461386077E-4</v>
      </c>
      <c r="N49" s="244">
        <f t="shared" si="5"/>
        <v>0.84745098791161466</v>
      </c>
      <c r="O49" s="245">
        <f t="shared" si="6"/>
        <v>0.56496732527440974</v>
      </c>
      <c r="U49" s="17">
        <f t="shared" si="7"/>
        <v>4.8999999999999986</v>
      </c>
      <c r="V49" s="17">
        <f t="shared" si="8"/>
        <v>9.4693877551020433E-2</v>
      </c>
    </row>
    <row r="50" spans="1:22" ht="15" thickBot="1" x14ac:dyDescent="0.25">
      <c r="A50" s="247">
        <f t="shared" si="3"/>
        <v>4.9999999999999982</v>
      </c>
      <c r="B50" s="205">
        <f t="shared" si="1"/>
        <v>0.13920000000000005</v>
      </c>
      <c r="C50" s="205">
        <f t="shared" si="2"/>
        <v>1.5</v>
      </c>
      <c r="D50" s="205">
        <f t="shared" si="4"/>
        <v>9.2800000000000035E-2</v>
      </c>
      <c r="N50" s="248">
        <f t="shared" si="5"/>
        <v>0.86474590603226009</v>
      </c>
      <c r="O50" s="249">
        <f t="shared" si="6"/>
        <v>0.57649727068817336</v>
      </c>
      <c r="U50" s="17">
        <f t="shared" si="7"/>
        <v>4.9999999999999982</v>
      </c>
      <c r="V50" s="17">
        <f t="shared" si="8"/>
        <v>9.2800000000000035E-2</v>
      </c>
    </row>
    <row r="52" spans="1:22" ht="15" thickBot="1" x14ac:dyDescent="0.25">
      <c r="F52" s="142" t="s">
        <v>220</v>
      </c>
      <c r="G52" s="143">
        <f>'[1]CORTANTE BASAL (Y)'!$R$19</f>
        <v>0.16742466179534163</v>
      </c>
      <c r="H52" s="144">
        <f>IF(G52&lt;TcBOG,2.5*AaBOG*FaBOG*IBOG,IF(G52=TcBOG,2.5*AaBOG*FaBOG*IBOG,IF(AND(G52&gt;TcBOG,G52&lt;=TlBOG),1.2*AvBOG*FvBOG*IBOG/G52,1.2*AvBOG*FvBOG*TlBOG*IBOG/G52^2)))</f>
        <v>0.39375000000000004</v>
      </c>
      <c r="I52" s="145">
        <f>H52/(2*PI()/$G52)^2*9.81</f>
        <v>2.7426393205681296E-3</v>
      </c>
      <c r="J52" s="145">
        <f>IF(G52&gt;Ao,Rsis,(Rsis-1)*TBOG/Ao+1)</f>
        <v>1.5</v>
      </c>
      <c r="K52" s="145">
        <f t="shared" ref="K52" si="11">H52/J52</f>
        <v>0.26250000000000001</v>
      </c>
      <c r="L52" s="145">
        <f>K52/(2*PI()/$G52)^2*9.81</f>
        <v>1.8284262137120862E-3</v>
      </c>
    </row>
  </sheetData>
  <mergeCells count="3">
    <mergeCell ref="A1:M1"/>
    <mergeCell ref="C7:F7"/>
    <mergeCell ref="N7:N12"/>
  </mergeCells>
  <dataValidations count="2">
    <dataValidation type="list" allowBlank="1" showInputMessage="1" showErrorMessage="1" sqref="D4" xr:uid="{71D2CB89-C0C4-42DA-BCB4-1251A7878290}">
      <formula1>$O$2:$O$5</formula1>
    </dataValidation>
    <dataValidation type="list" allowBlank="1" showInputMessage="1" showErrorMessage="1" sqref="C7" xr:uid="{55A40E82-6FEC-4C6E-8F1B-EF27C14F8D4A}">
      <formula1>$P$6:$AE$6</formula1>
    </dataValidation>
  </dataValidations>
  <pageMargins left="0.7" right="0.7" top="0.75" bottom="0.75" header="0.3" footer="0.3"/>
  <pageSetup paperSize="9" orientation="portrait" horizontalDpi="200" verticalDpi="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3B1D-22FB-43EF-A275-706FF06934B9}">
  <dimension ref="A1:L1152"/>
  <sheetViews>
    <sheetView workbookViewId="0">
      <pane ySplit="1" topLeftCell="A2" activePane="bottomLeft" state="frozen"/>
      <selection activeCell="G3" sqref="G3"/>
      <selection pane="bottomLeft" activeCell="G3" sqref="G3"/>
    </sheetView>
  </sheetViews>
  <sheetFormatPr baseColWidth="10" defaultRowHeight="16.5" x14ac:dyDescent="0.3"/>
  <cols>
    <col min="1" max="1" width="42.28515625" style="263" customWidth="1"/>
    <col min="2" max="2" width="1.85546875" style="263" customWidth="1"/>
    <col min="3" max="3" width="15.85546875" style="263" bestFit="1" customWidth="1"/>
    <col min="4" max="4" width="42.28515625" style="263" customWidth="1"/>
    <col min="5" max="5" width="8.5703125" style="321" bestFit="1" customWidth="1"/>
    <col min="6" max="7" width="3.5703125" style="322" bestFit="1" customWidth="1"/>
    <col min="8" max="8" width="8" style="322" bestFit="1" customWidth="1"/>
    <col min="9" max="9" width="3.5703125" style="322" bestFit="1" customWidth="1"/>
    <col min="10" max="10" width="3.5703125" style="323" bestFit="1" customWidth="1"/>
    <col min="11" max="11" width="11.85546875" style="263" bestFit="1" customWidth="1"/>
    <col min="12" max="16384" width="11.42578125" style="263"/>
  </cols>
  <sheetData>
    <row r="1" spans="1:12" ht="39" thickBot="1" x14ac:dyDescent="0.35">
      <c r="A1" s="257" t="s">
        <v>284</v>
      </c>
      <c r="B1" s="258"/>
      <c r="C1" s="258"/>
      <c r="D1" s="258" t="s">
        <v>285</v>
      </c>
      <c r="E1" s="259" t="s">
        <v>286</v>
      </c>
      <c r="F1" s="260" t="s">
        <v>287</v>
      </c>
      <c r="G1" s="260" t="s">
        <v>288</v>
      </c>
      <c r="H1" s="261" t="s">
        <v>289</v>
      </c>
      <c r="I1" s="260" t="s">
        <v>290</v>
      </c>
      <c r="J1" s="262" t="s">
        <v>291</v>
      </c>
    </row>
    <row r="2" spans="1:12" ht="17.25" thickBot="1" x14ac:dyDescent="0.35">
      <c r="A2" s="264" t="s">
        <v>292</v>
      </c>
      <c r="B2" s="265">
        <f>IFERROR(FIND("Departamento",A2),0)</f>
        <v>1</v>
      </c>
      <c r="C2" s="266" t="str">
        <f>IF(B2=1,IF(ISERROR(FIND("del",A2)),MID(A2,17,30),MID(A2,18,30)),C1)</f>
        <v>Amazonas</v>
      </c>
      <c r="D2" s="265" t="str">
        <f>IF(B2=1,"",CONCATENATE(A2,", ",C2))</f>
        <v/>
      </c>
      <c r="E2" s="267"/>
      <c r="F2" s="268"/>
      <c r="G2" s="268"/>
      <c r="H2" s="268"/>
      <c r="I2" s="268"/>
      <c r="J2" s="269"/>
      <c r="K2" s="263">
        <v>1</v>
      </c>
      <c r="L2" s="270" t="s">
        <v>293</v>
      </c>
    </row>
    <row r="3" spans="1:12" x14ac:dyDescent="0.3">
      <c r="A3" s="271" t="s">
        <v>294</v>
      </c>
      <c r="B3" s="272">
        <f t="shared" ref="B3:B66" si="0">IFERROR(FIND("Departamento",A3),0)</f>
        <v>0</v>
      </c>
      <c r="C3" s="273" t="str">
        <f t="shared" ref="C3:C66" si="1">IF(B3=1,IF(ISERROR(FIND("del",A3)),MID(A3,17,30),MID(A3,18,30)),C2)</f>
        <v>Amazonas</v>
      </c>
      <c r="D3" s="273" t="str">
        <f t="shared" ref="D3:D66" si="2">IF(B3=1,"",CONCATENATE(A3,", ",C3))</f>
        <v>Leticia, Amazonas</v>
      </c>
      <c r="E3" s="274">
        <v>91001</v>
      </c>
      <c r="F3" s="275">
        <v>0.05</v>
      </c>
      <c r="G3" s="275">
        <v>0.05</v>
      </c>
      <c r="H3" s="275" t="s">
        <v>295</v>
      </c>
      <c r="I3" s="275">
        <v>0.04</v>
      </c>
      <c r="J3" s="276">
        <v>0.02</v>
      </c>
      <c r="K3" s="263">
        <v>2</v>
      </c>
      <c r="L3" s="270" t="s">
        <v>296</v>
      </c>
    </row>
    <row r="4" spans="1:12" x14ac:dyDescent="0.3">
      <c r="A4" s="277" t="s">
        <v>297</v>
      </c>
      <c r="B4" s="278">
        <f t="shared" si="0"/>
        <v>0</v>
      </c>
      <c r="C4" s="278" t="str">
        <f t="shared" si="1"/>
        <v>Amazonas</v>
      </c>
      <c r="D4" s="278" t="str">
        <f t="shared" si="2"/>
        <v>El Encanto, Amazonas</v>
      </c>
      <c r="E4" s="279">
        <v>91263</v>
      </c>
      <c r="F4" s="280">
        <v>0.05</v>
      </c>
      <c r="G4" s="280">
        <v>0.05</v>
      </c>
      <c r="H4" s="280" t="s">
        <v>295</v>
      </c>
      <c r="I4" s="280">
        <v>0.04</v>
      </c>
      <c r="J4" s="281">
        <v>0.02</v>
      </c>
      <c r="K4" s="263">
        <v>3</v>
      </c>
      <c r="L4" s="270" t="s">
        <v>298</v>
      </c>
    </row>
    <row r="5" spans="1:12" x14ac:dyDescent="0.3">
      <c r="A5" s="277" t="s">
        <v>299</v>
      </c>
      <c r="B5" s="278">
        <f t="shared" si="0"/>
        <v>0</v>
      </c>
      <c r="C5" s="278" t="str">
        <f t="shared" si="1"/>
        <v>Amazonas</v>
      </c>
      <c r="D5" s="278" t="str">
        <f t="shared" si="2"/>
        <v>La Chorrera, Amazonas</v>
      </c>
      <c r="E5" s="279">
        <v>91405</v>
      </c>
      <c r="F5" s="280">
        <v>0.05</v>
      </c>
      <c r="G5" s="280">
        <v>0.05</v>
      </c>
      <c r="H5" s="280" t="s">
        <v>295</v>
      </c>
      <c r="I5" s="280">
        <v>0.04</v>
      </c>
      <c r="J5" s="281">
        <v>0.02</v>
      </c>
      <c r="K5" s="263">
        <v>4</v>
      </c>
      <c r="L5" s="270" t="s">
        <v>300</v>
      </c>
    </row>
    <row r="6" spans="1:12" x14ac:dyDescent="0.3">
      <c r="A6" s="277" t="s">
        <v>301</v>
      </c>
      <c r="B6" s="278">
        <f t="shared" si="0"/>
        <v>0</v>
      </c>
      <c r="C6" s="278" t="str">
        <f t="shared" si="1"/>
        <v>Amazonas</v>
      </c>
      <c r="D6" s="278" t="str">
        <f t="shared" si="2"/>
        <v>La Pedrera, Amazonas</v>
      </c>
      <c r="E6" s="279">
        <v>91407</v>
      </c>
      <c r="F6" s="280">
        <v>0.05</v>
      </c>
      <c r="G6" s="280">
        <v>0.05</v>
      </c>
      <c r="H6" s="280" t="s">
        <v>295</v>
      </c>
      <c r="I6" s="280">
        <v>0.04</v>
      </c>
      <c r="J6" s="281">
        <v>0.02</v>
      </c>
      <c r="K6" s="263">
        <v>5</v>
      </c>
      <c r="L6" s="270" t="s">
        <v>302</v>
      </c>
    </row>
    <row r="7" spans="1:12" x14ac:dyDescent="0.3">
      <c r="A7" s="277" t="s">
        <v>303</v>
      </c>
      <c r="B7" s="278">
        <f t="shared" si="0"/>
        <v>0</v>
      </c>
      <c r="C7" s="278" t="str">
        <f t="shared" si="1"/>
        <v>Amazonas</v>
      </c>
      <c r="D7" s="278" t="str">
        <f t="shared" si="2"/>
        <v>La Victoria, Amazonas</v>
      </c>
      <c r="E7" s="279">
        <v>91430</v>
      </c>
      <c r="F7" s="280">
        <v>0.05</v>
      </c>
      <c r="G7" s="280">
        <v>0.05</v>
      </c>
      <c r="H7" s="280" t="s">
        <v>295</v>
      </c>
      <c r="I7" s="280">
        <v>0.04</v>
      </c>
      <c r="J7" s="281">
        <v>0.02</v>
      </c>
      <c r="K7" s="263">
        <v>6</v>
      </c>
      <c r="L7" s="270" t="s">
        <v>304</v>
      </c>
    </row>
    <row r="8" spans="1:12" x14ac:dyDescent="0.3">
      <c r="A8" s="277" t="s">
        <v>305</v>
      </c>
      <c r="B8" s="278">
        <f t="shared" si="0"/>
        <v>0</v>
      </c>
      <c r="C8" s="278" t="str">
        <f t="shared" si="1"/>
        <v>Amazonas</v>
      </c>
      <c r="D8" s="278" t="str">
        <f t="shared" si="2"/>
        <v>Mirití-Paraná, Amazonas</v>
      </c>
      <c r="E8" s="279">
        <v>91460</v>
      </c>
      <c r="F8" s="280">
        <v>0.05</v>
      </c>
      <c r="G8" s="280">
        <v>0.05</v>
      </c>
      <c r="H8" s="280" t="s">
        <v>295</v>
      </c>
      <c r="I8" s="280">
        <v>0.04</v>
      </c>
      <c r="J8" s="281">
        <v>0.02</v>
      </c>
      <c r="K8" s="263">
        <v>7</v>
      </c>
      <c r="L8" s="270" t="s">
        <v>306</v>
      </c>
    </row>
    <row r="9" spans="1:12" x14ac:dyDescent="0.3">
      <c r="A9" s="277" t="s">
        <v>307</v>
      </c>
      <c r="B9" s="278">
        <f t="shared" si="0"/>
        <v>0</v>
      </c>
      <c r="C9" s="278" t="str">
        <f t="shared" si="1"/>
        <v>Amazonas</v>
      </c>
      <c r="D9" s="278" t="str">
        <f t="shared" si="2"/>
        <v>Puerto Alegría, Amazonas</v>
      </c>
      <c r="E9" s="279">
        <v>91530</v>
      </c>
      <c r="F9" s="280">
        <v>0.05</v>
      </c>
      <c r="G9" s="280">
        <v>0.05</v>
      </c>
      <c r="H9" s="280" t="s">
        <v>295</v>
      </c>
      <c r="I9" s="280">
        <v>0.04</v>
      </c>
      <c r="J9" s="281">
        <v>0.02</v>
      </c>
      <c r="K9" s="263">
        <v>8</v>
      </c>
      <c r="L9" s="270" t="s">
        <v>308</v>
      </c>
    </row>
    <row r="10" spans="1:12" x14ac:dyDescent="0.3">
      <c r="A10" s="277" t="s">
        <v>309</v>
      </c>
      <c r="B10" s="278">
        <f t="shared" si="0"/>
        <v>0</v>
      </c>
      <c r="C10" s="278" t="str">
        <f t="shared" si="1"/>
        <v>Amazonas</v>
      </c>
      <c r="D10" s="278" t="str">
        <f t="shared" si="2"/>
        <v>Puerto Arica, Amazonas</v>
      </c>
      <c r="E10" s="279">
        <v>91536</v>
      </c>
      <c r="F10" s="280">
        <v>0.05</v>
      </c>
      <c r="G10" s="280">
        <v>0.05</v>
      </c>
      <c r="H10" s="280" t="s">
        <v>295</v>
      </c>
      <c r="I10" s="280">
        <v>0.04</v>
      </c>
      <c r="J10" s="281">
        <v>0.02</v>
      </c>
      <c r="K10" s="263">
        <v>9</v>
      </c>
      <c r="L10" s="270" t="s">
        <v>310</v>
      </c>
    </row>
    <row r="11" spans="1:12" x14ac:dyDescent="0.3">
      <c r="A11" s="277" t="s">
        <v>311</v>
      </c>
      <c r="B11" s="278">
        <f t="shared" si="0"/>
        <v>0</v>
      </c>
      <c r="C11" s="278" t="str">
        <f t="shared" si="1"/>
        <v>Amazonas</v>
      </c>
      <c r="D11" s="278" t="str">
        <f t="shared" si="2"/>
        <v>Puerto Nariño, Amazonas</v>
      </c>
      <c r="E11" s="279">
        <v>91540</v>
      </c>
      <c r="F11" s="280">
        <v>0.05</v>
      </c>
      <c r="G11" s="280">
        <v>0.05</v>
      </c>
      <c r="H11" s="280" t="s">
        <v>295</v>
      </c>
      <c r="I11" s="280">
        <v>0.04</v>
      </c>
      <c r="J11" s="281">
        <v>0.02</v>
      </c>
      <c r="K11" s="263">
        <v>10</v>
      </c>
      <c r="L11" s="270" t="s">
        <v>312</v>
      </c>
    </row>
    <row r="12" spans="1:12" x14ac:dyDescent="0.3">
      <c r="A12" s="277" t="s">
        <v>313</v>
      </c>
      <c r="B12" s="278">
        <f t="shared" si="0"/>
        <v>0</v>
      </c>
      <c r="C12" s="278" t="str">
        <f t="shared" si="1"/>
        <v>Amazonas</v>
      </c>
      <c r="D12" s="278" t="str">
        <f t="shared" si="2"/>
        <v>Puerto Santander, Amazonas</v>
      </c>
      <c r="E12" s="279">
        <v>91669</v>
      </c>
      <c r="F12" s="280">
        <v>0.05</v>
      </c>
      <c r="G12" s="280">
        <v>0.05</v>
      </c>
      <c r="H12" s="280" t="s">
        <v>295</v>
      </c>
      <c r="I12" s="280">
        <v>0.04</v>
      </c>
      <c r="J12" s="281">
        <v>0.02</v>
      </c>
      <c r="K12" s="263">
        <v>11</v>
      </c>
      <c r="L12" s="270" t="s">
        <v>314</v>
      </c>
    </row>
    <row r="13" spans="1:12" ht="17.25" thickBot="1" x14ac:dyDescent="0.35">
      <c r="A13" s="282" t="s">
        <v>315</v>
      </c>
      <c r="B13" s="283">
        <f t="shared" si="0"/>
        <v>0</v>
      </c>
      <c r="C13" s="283" t="str">
        <f t="shared" si="1"/>
        <v>Amazonas</v>
      </c>
      <c r="D13" s="283" t="str">
        <f t="shared" si="2"/>
        <v>Tarapacá, Amazonas</v>
      </c>
      <c r="E13" s="284">
        <v>91798</v>
      </c>
      <c r="F13" s="285">
        <v>0.05</v>
      </c>
      <c r="G13" s="285">
        <v>0.05</v>
      </c>
      <c r="H13" s="285" t="s">
        <v>295</v>
      </c>
      <c r="I13" s="285">
        <v>0.04</v>
      </c>
      <c r="J13" s="286">
        <v>0.02</v>
      </c>
      <c r="K13" s="263">
        <v>12</v>
      </c>
      <c r="L13" s="270" t="s">
        <v>316</v>
      </c>
    </row>
    <row r="14" spans="1:12" ht="17.25" thickBot="1" x14ac:dyDescent="0.35">
      <c r="A14" s="264" t="s">
        <v>317</v>
      </c>
      <c r="B14" s="265">
        <f t="shared" si="0"/>
        <v>1</v>
      </c>
      <c r="C14" s="266" t="str">
        <f t="shared" si="1"/>
        <v>Antioquia</v>
      </c>
      <c r="D14" s="265" t="str">
        <f t="shared" si="2"/>
        <v/>
      </c>
      <c r="E14" s="267"/>
      <c r="F14" s="268"/>
      <c r="G14" s="268"/>
      <c r="H14" s="268"/>
      <c r="I14" s="268"/>
      <c r="J14" s="269"/>
      <c r="K14" s="263">
        <v>13</v>
      </c>
      <c r="L14" s="270" t="s">
        <v>318</v>
      </c>
    </row>
    <row r="15" spans="1:12" x14ac:dyDescent="0.3">
      <c r="A15" s="287" t="s">
        <v>319</v>
      </c>
      <c r="B15" s="288">
        <f t="shared" si="0"/>
        <v>0</v>
      </c>
      <c r="C15" s="289" t="str">
        <f t="shared" si="1"/>
        <v>Antioquia</v>
      </c>
      <c r="D15" s="288" t="str">
        <f t="shared" si="2"/>
        <v>Medellín, Antioquia</v>
      </c>
      <c r="E15" s="290">
        <v>5001</v>
      </c>
      <c r="F15" s="291">
        <v>0.15</v>
      </c>
      <c r="G15" s="291">
        <v>0.2</v>
      </c>
      <c r="H15" s="291" t="s">
        <v>40</v>
      </c>
      <c r="I15" s="291">
        <v>0.13</v>
      </c>
      <c r="J15" s="292">
        <v>7.0000000000000007E-2</v>
      </c>
      <c r="K15" s="263">
        <v>14</v>
      </c>
      <c r="L15" s="270" t="s">
        <v>320</v>
      </c>
    </row>
    <row r="16" spans="1:12" x14ac:dyDescent="0.3">
      <c r="A16" s="277" t="s">
        <v>321</v>
      </c>
      <c r="B16" s="278">
        <f t="shared" si="0"/>
        <v>0</v>
      </c>
      <c r="C16" s="278" t="str">
        <f t="shared" si="1"/>
        <v>Antioquia</v>
      </c>
      <c r="D16" s="278" t="str">
        <f t="shared" si="2"/>
        <v>Abejorral, Antioquia</v>
      </c>
      <c r="E16" s="279">
        <v>5002</v>
      </c>
      <c r="F16" s="280">
        <v>0.2</v>
      </c>
      <c r="G16" s="280">
        <v>0.25</v>
      </c>
      <c r="H16" s="280" t="s">
        <v>322</v>
      </c>
      <c r="I16" s="280">
        <v>0.13</v>
      </c>
      <c r="J16" s="281">
        <v>7.0000000000000007E-2</v>
      </c>
      <c r="K16" s="263">
        <v>15</v>
      </c>
      <c r="L16" s="270" t="s">
        <v>323</v>
      </c>
    </row>
    <row r="17" spans="1:12" x14ac:dyDescent="0.3">
      <c r="A17" s="277" t="s">
        <v>324</v>
      </c>
      <c r="B17" s="278">
        <f t="shared" si="0"/>
        <v>0</v>
      </c>
      <c r="C17" s="278" t="str">
        <f t="shared" si="1"/>
        <v>Antioquia</v>
      </c>
      <c r="D17" s="278" t="str">
        <f t="shared" si="2"/>
        <v>Abriaquí, Antioquia</v>
      </c>
      <c r="E17" s="279">
        <v>5004</v>
      </c>
      <c r="F17" s="280">
        <v>0.2</v>
      </c>
      <c r="G17" s="280">
        <v>0.25</v>
      </c>
      <c r="H17" s="280" t="s">
        <v>322</v>
      </c>
      <c r="I17" s="280">
        <v>0.13</v>
      </c>
      <c r="J17" s="281">
        <v>7.0000000000000007E-2</v>
      </c>
      <c r="K17" s="263">
        <v>16</v>
      </c>
      <c r="L17" s="270" t="s">
        <v>325</v>
      </c>
    </row>
    <row r="18" spans="1:12" x14ac:dyDescent="0.3">
      <c r="A18" s="277" t="s">
        <v>326</v>
      </c>
      <c r="B18" s="278">
        <f t="shared" si="0"/>
        <v>0</v>
      </c>
      <c r="C18" s="278" t="str">
        <f t="shared" si="1"/>
        <v>Antioquia</v>
      </c>
      <c r="D18" s="278" t="str">
        <f t="shared" si="2"/>
        <v>Alejandría, Antioquia</v>
      </c>
      <c r="E18" s="279">
        <v>5021</v>
      </c>
      <c r="F18" s="280">
        <v>0.15</v>
      </c>
      <c r="G18" s="280">
        <v>0.2</v>
      </c>
      <c r="H18" s="280" t="s">
        <v>40</v>
      </c>
      <c r="I18" s="280">
        <v>0.09</v>
      </c>
      <c r="J18" s="281">
        <v>0.05</v>
      </c>
      <c r="K18" s="263">
        <v>17</v>
      </c>
      <c r="L18" s="270" t="s">
        <v>327</v>
      </c>
    </row>
    <row r="19" spans="1:12" x14ac:dyDescent="0.3">
      <c r="A19" s="277" t="s">
        <v>328</v>
      </c>
      <c r="B19" s="278">
        <f t="shared" si="0"/>
        <v>0</v>
      </c>
      <c r="C19" s="278" t="str">
        <f t="shared" si="1"/>
        <v>Antioquia</v>
      </c>
      <c r="D19" s="278" t="str">
        <f t="shared" si="2"/>
        <v>Amagá, Antioquia</v>
      </c>
      <c r="E19" s="279">
        <v>5030</v>
      </c>
      <c r="F19" s="280">
        <v>0.2</v>
      </c>
      <c r="G19" s="280">
        <v>0.25</v>
      </c>
      <c r="H19" s="280" t="s">
        <v>322</v>
      </c>
      <c r="I19" s="280">
        <v>0.16</v>
      </c>
      <c r="J19" s="281">
        <v>0.09</v>
      </c>
      <c r="K19" s="263">
        <v>18</v>
      </c>
      <c r="L19" s="270" t="s">
        <v>329</v>
      </c>
    </row>
    <row r="20" spans="1:12" x14ac:dyDescent="0.3">
      <c r="A20" s="277" t="s">
        <v>330</v>
      </c>
      <c r="B20" s="278">
        <f t="shared" si="0"/>
        <v>0</v>
      </c>
      <c r="C20" s="278" t="str">
        <f t="shared" si="1"/>
        <v>Antioquia</v>
      </c>
      <c r="D20" s="278" t="str">
        <f t="shared" si="2"/>
        <v>Amalfi, Antioquia</v>
      </c>
      <c r="E20" s="279">
        <v>5031</v>
      </c>
      <c r="F20" s="280">
        <v>0.15</v>
      </c>
      <c r="G20" s="280">
        <v>0.2</v>
      </c>
      <c r="H20" s="280" t="s">
        <v>40</v>
      </c>
      <c r="I20" s="280">
        <v>7.0000000000000007E-2</v>
      </c>
      <c r="J20" s="281">
        <v>0.04</v>
      </c>
      <c r="K20" s="263">
        <v>19</v>
      </c>
      <c r="L20" s="270" t="s">
        <v>6</v>
      </c>
    </row>
    <row r="21" spans="1:12" x14ac:dyDescent="0.3">
      <c r="A21" s="277" t="s">
        <v>331</v>
      </c>
      <c r="B21" s="278">
        <f t="shared" si="0"/>
        <v>0</v>
      </c>
      <c r="C21" s="278" t="str">
        <f t="shared" si="1"/>
        <v>Antioquia</v>
      </c>
      <c r="D21" s="278" t="str">
        <f t="shared" si="2"/>
        <v>Andes, Antioquia</v>
      </c>
      <c r="E21" s="279">
        <v>5034</v>
      </c>
      <c r="F21" s="280">
        <v>0.25</v>
      </c>
      <c r="G21" s="280">
        <v>0.3</v>
      </c>
      <c r="H21" s="280" t="s">
        <v>322</v>
      </c>
      <c r="I21" s="280">
        <v>0.17</v>
      </c>
      <c r="J21" s="281">
        <v>0.1</v>
      </c>
      <c r="K21" s="263">
        <v>20</v>
      </c>
      <c r="L21" s="270" t="s">
        <v>332</v>
      </c>
    </row>
    <row r="22" spans="1:12" x14ac:dyDescent="0.3">
      <c r="A22" s="277" t="s">
        <v>333</v>
      </c>
      <c r="B22" s="278">
        <f t="shared" si="0"/>
        <v>0</v>
      </c>
      <c r="C22" s="278" t="str">
        <f t="shared" si="1"/>
        <v>Antioquia</v>
      </c>
      <c r="D22" s="278" t="str">
        <f t="shared" si="2"/>
        <v>Angelópolis, Antioquia</v>
      </c>
      <c r="E22" s="279">
        <v>5036</v>
      </c>
      <c r="F22" s="280">
        <v>0.2</v>
      </c>
      <c r="G22" s="280">
        <v>0.25</v>
      </c>
      <c r="H22" s="280" t="s">
        <v>322</v>
      </c>
      <c r="I22" s="280">
        <v>0.16</v>
      </c>
      <c r="J22" s="281">
        <v>0.08</v>
      </c>
      <c r="K22" s="263">
        <v>21</v>
      </c>
      <c r="L22" s="270" t="s">
        <v>334</v>
      </c>
    </row>
    <row r="23" spans="1:12" x14ac:dyDescent="0.3">
      <c r="A23" s="277" t="s">
        <v>335</v>
      </c>
      <c r="B23" s="278">
        <f t="shared" si="0"/>
        <v>0</v>
      </c>
      <c r="C23" s="278" t="str">
        <f t="shared" si="1"/>
        <v>Antioquia</v>
      </c>
      <c r="D23" s="278" t="str">
        <f t="shared" si="2"/>
        <v>Angostura, Antioquia</v>
      </c>
      <c r="E23" s="279">
        <v>5038</v>
      </c>
      <c r="F23" s="280">
        <v>0.15</v>
      </c>
      <c r="G23" s="280">
        <v>0.2</v>
      </c>
      <c r="H23" s="280" t="s">
        <v>40</v>
      </c>
      <c r="I23" s="280">
        <v>0.09</v>
      </c>
      <c r="J23" s="281">
        <v>0.04</v>
      </c>
      <c r="K23" s="263">
        <v>22</v>
      </c>
      <c r="L23" s="270" t="s">
        <v>336</v>
      </c>
    </row>
    <row r="24" spans="1:12" x14ac:dyDescent="0.3">
      <c r="A24" s="277" t="s">
        <v>337</v>
      </c>
      <c r="B24" s="278">
        <f t="shared" si="0"/>
        <v>0</v>
      </c>
      <c r="C24" s="278" t="str">
        <f t="shared" si="1"/>
        <v>Antioquia</v>
      </c>
      <c r="D24" s="278" t="str">
        <f t="shared" si="2"/>
        <v>Anorí, Antioquia</v>
      </c>
      <c r="E24" s="279">
        <v>5040</v>
      </c>
      <c r="F24" s="280">
        <v>0.15</v>
      </c>
      <c r="G24" s="280">
        <v>0.2</v>
      </c>
      <c r="H24" s="280" t="s">
        <v>40</v>
      </c>
      <c r="I24" s="280">
        <v>7.0000000000000007E-2</v>
      </c>
      <c r="J24" s="281">
        <v>0.04</v>
      </c>
      <c r="K24" s="263">
        <v>23</v>
      </c>
      <c r="L24" s="270" t="s">
        <v>338</v>
      </c>
    </row>
    <row r="25" spans="1:12" x14ac:dyDescent="0.3">
      <c r="A25" s="277" t="s">
        <v>339</v>
      </c>
      <c r="B25" s="278">
        <f t="shared" si="0"/>
        <v>0</v>
      </c>
      <c r="C25" s="278" t="str">
        <f t="shared" si="1"/>
        <v>Antioquia</v>
      </c>
      <c r="D25" s="278" t="str">
        <f t="shared" si="2"/>
        <v>Anzá, Antioquia</v>
      </c>
      <c r="E25" s="279">
        <v>5044</v>
      </c>
      <c r="F25" s="280">
        <v>0.2</v>
      </c>
      <c r="G25" s="293">
        <v>0.25</v>
      </c>
      <c r="H25" s="293" t="s">
        <v>322</v>
      </c>
      <c r="I25" s="280">
        <v>0.14000000000000001</v>
      </c>
      <c r="J25" s="281">
        <v>0.08</v>
      </c>
      <c r="K25" s="263">
        <v>24</v>
      </c>
      <c r="L25" s="270" t="s">
        <v>340</v>
      </c>
    </row>
    <row r="26" spans="1:12" x14ac:dyDescent="0.3">
      <c r="A26" s="277" t="s">
        <v>341</v>
      </c>
      <c r="B26" s="278">
        <f t="shared" si="0"/>
        <v>0</v>
      </c>
      <c r="C26" s="278" t="str">
        <f t="shared" si="1"/>
        <v>Antioquia</v>
      </c>
      <c r="D26" s="278" t="str">
        <f t="shared" si="2"/>
        <v>Apartadó, Antioquia</v>
      </c>
      <c r="E26" s="279">
        <v>5045</v>
      </c>
      <c r="F26" s="280">
        <v>0.25</v>
      </c>
      <c r="G26" s="280">
        <v>0.25</v>
      </c>
      <c r="H26" s="280" t="s">
        <v>322</v>
      </c>
      <c r="I26" s="280">
        <v>0.19</v>
      </c>
      <c r="J26" s="281">
        <v>0.09</v>
      </c>
      <c r="K26" s="263">
        <v>25</v>
      </c>
      <c r="L26" s="270" t="s">
        <v>342</v>
      </c>
    </row>
    <row r="27" spans="1:12" x14ac:dyDescent="0.3">
      <c r="A27" s="277" t="s">
        <v>343</v>
      </c>
      <c r="B27" s="278">
        <f t="shared" si="0"/>
        <v>0</v>
      </c>
      <c r="C27" s="278" t="str">
        <f t="shared" si="1"/>
        <v>Antioquia</v>
      </c>
      <c r="D27" s="278" t="str">
        <f t="shared" si="2"/>
        <v>Arboletes, Antioquia</v>
      </c>
      <c r="E27" s="279">
        <v>5051</v>
      </c>
      <c r="F27" s="280">
        <v>0.1</v>
      </c>
      <c r="G27" s="280">
        <v>0.2</v>
      </c>
      <c r="H27" s="280" t="s">
        <v>40</v>
      </c>
      <c r="I27" s="280">
        <v>0.05</v>
      </c>
      <c r="J27" s="281">
        <v>0.03</v>
      </c>
      <c r="K27" s="263">
        <v>26</v>
      </c>
      <c r="L27" s="270" t="s">
        <v>344</v>
      </c>
    </row>
    <row r="28" spans="1:12" x14ac:dyDescent="0.3">
      <c r="A28" s="277" t="s">
        <v>345</v>
      </c>
      <c r="B28" s="278">
        <f t="shared" si="0"/>
        <v>0</v>
      </c>
      <c r="C28" s="278" t="str">
        <f t="shared" si="1"/>
        <v>Antioquia</v>
      </c>
      <c r="D28" s="278" t="str">
        <f t="shared" si="2"/>
        <v>Argelia, Antioquia</v>
      </c>
      <c r="E28" s="279">
        <v>5055</v>
      </c>
      <c r="F28" s="280">
        <v>0.15</v>
      </c>
      <c r="G28" s="280">
        <v>0.2</v>
      </c>
      <c r="H28" s="280" t="s">
        <v>40</v>
      </c>
      <c r="I28" s="280">
        <v>0.12</v>
      </c>
      <c r="J28" s="281">
        <v>7.0000000000000007E-2</v>
      </c>
      <c r="K28" s="263">
        <v>27</v>
      </c>
      <c r="L28" s="270" t="s">
        <v>346</v>
      </c>
    </row>
    <row r="29" spans="1:12" x14ac:dyDescent="0.3">
      <c r="A29" s="277" t="s">
        <v>8</v>
      </c>
      <c r="B29" s="278">
        <f t="shared" si="0"/>
        <v>0</v>
      </c>
      <c r="C29" s="278" t="str">
        <f t="shared" si="1"/>
        <v>Antioquia</v>
      </c>
      <c r="D29" s="278" t="str">
        <f t="shared" si="2"/>
        <v>Armenia, Antioquia</v>
      </c>
      <c r="E29" s="279">
        <v>5059</v>
      </c>
      <c r="F29" s="280">
        <v>0.2</v>
      </c>
      <c r="G29" s="280">
        <v>0.25</v>
      </c>
      <c r="H29" s="280" t="s">
        <v>322</v>
      </c>
      <c r="I29" s="280">
        <v>0.15</v>
      </c>
      <c r="J29" s="281">
        <v>0.08</v>
      </c>
      <c r="K29" s="263">
        <v>28</v>
      </c>
      <c r="L29" s="270" t="s">
        <v>347</v>
      </c>
    </row>
    <row r="30" spans="1:12" x14ac:dyDescent="0.3">
      <c r="A30" s="277" t="s">
        <v>348</v>
      </c>
      <c r="B30" s="278">
        <f t="shared" si="0"/>
        <v>0</v>
      </c>
      <c r="C30" s="278" t="str">
        <f t="shared" si="1"/>
        <v>Antioquia</v>
      </c>
      <c r="D30" s="278" t="str">
        <f t="shared" si="2"/>
        <v>Barbosa, Antioquia</v>
      </c>
      <c r="E30" s="279">
        <v>5079</v>
      </c>
      <c r="F30" s="280">
        <v>0.15</v>
      </c>
      <c r="G30" s="280">
        <v>0.2</v>
      </c>
      <c r="H30" s="280" t="s">
        <v>40</v>
      </c>
      <c r="I30" s="280">
        <v>0.1</v>
      </c>
      <c r="J30" s="281">
        <v>0.05</v>
      </c>
      <c r="K30" s="263">
        <v>29</v>
      </c>
      <c r="L30" s="270" t="s">
        <v>349</v>
      </c>
    </row>
    <row r="31" spans="1:12" x14ac:dyDescent="0.3">
      <c r="A31" s="277" t="s">
        <v>350</v>
      </c>
      <c r="B31" s="278">
        <f t="shared" si="0"/>
        <v>0</v>
      </c>
      <c r="C31" s="278" t="str">
        <f t="shared" si="1"/>
        <v>Antioquia</v>
      </c>
      <c r="D31" s="278" t="str">
        <f t="shared" si="2"/>
        <v>Bello, Antioquia</v>
      </c>
      <c r="E31" s="279">
        <v>5088</v>
      </c>
      <c r="F31" s="280">
        <v>0.15</v>
      </c>
      <c r="G31" s="280">
        <v>0.2</v>
      </c>
      <c r="H31" s="280" t="s">
        <v>40</v>
      </c>
      <c r="I31" s="280">
        <v>0.13</v>
      </c>
      <c r="J31" s="281">
        <v>7.0000000000000007E-2</v>
      </c>
      <c r="K31" s="263">
        <v>30</v>
      </c>
      <c r="L31" s="270" t="s">
        <v>351</v>
      </c>
    </row>
    <row r="32" spans="1:12" x14ac:dyDescent="0.3">
      <c r="A32" s="277" t="s">
        <v>352</v>
      </c>
      <c r="B32" s="278">
        <f t="shared" si="0"/>
        <v>0</v>
      </c>
      <c r="C32" s="278" t="str">
        <f t="shared" si="1"/>
        <v>Antioquia</v>
      </c>
      <c r="D32" s="278" t="str">
        <f t="shared" si="2"/>
        <v>Belmira, Antioquia</v>
      </c>
      <c r="E32" s="279">
        <v>5086</v>
      </c>
      <c r="F32" s="280">
        <v>0.15</v>
      </c>
      <c r="G32" s="280">
        <v>0.2</v>
      </c>
      <c r="H32" s="280" t="s">
        <v>40</v>
      </c>
      <c r="I32" s="280">
        <v>0.12</v>
      </c>
      <c r="J32" s="281">
        <v>0.06</v>
      </c>
      <c r="K32" s="263">
        <v>31</v>
      </c>
      <c r="L32" s="270" t="s">
        <v>353</v>
      </c>
    </row>
    <row r="33" spans="1:12" x14ac:dyDescent="0.3">
      <c r="A33" s="277" t="s">
        <v>354</v>
      </c>
      <c r="B33" s="278">
        <f t="shared" si="0"/>
        <v>0</v>
      </c>
      <c r="C33" s="278" t="str">
        <f t="shared" si="1"/>
        <v>Antioquia</v>
      </c>
      <c r="D33" s="278" t="str">
        <f t="shared" si="2"/>
        <v>Betania, Antioquia</v>
      </c>
      <c r="E33" s="279">
        <v>5091</v>
      </c>
      <c r="F33" s="280">
        <v>0.25</v>
      </c>
      <c r="G33" s="280">
        <v>0.3</v>
      </c>
      <c r="H33" s="280" t="s">
        <v>322</v>
      </c>
      <c r="I33" s="280">
        <v>0.16</v>
      </c>
      <c r="J33" s="281">
        <v>0.1</v>
      </c>
      <c r="K33" s="263">
        <v>32</v>
      </c>
      <c r="L33" s="270" t="s">
        <v>355</v>
      </c>
    </row>
    <row r="34" spans="1:12" x14ac:dyDescent="0.3">
      <c r="A34" s="277" t="s">
        <v>356</v>
      </c>
      <c r="B34" s="278">
        <f t="shared" si="0"/>
        <v>0</v>
      </c>
      <c r="C34" s="278" t="str">
        <f t="shared" si="1"/>
        <v>Antioquia</v>
      </c>
      <c r="D34" s="278" t="str">
        <f t="shared" si="2"/>
        <v>Betulia, Antioquia</v>
      </c>
      <c r="E34" s="279">
        <v>5093</v>
      </c>
      <c r="F34" s="280">
        <v>0.2</v>
      </c>
      <c r="G34" s="280">
        <v>0.25</v>
      </c>
      <c r="H34" s="280" t="s">
        <v>322</v>
      </c>
      <c r="I34" s="280">
        <v>0.14000000000000001</v>
      </c>
      <c r="J34" s="281">
        <v>0.08</v>
      </c>
      <c r="K34" s="263">
        <v>33</v>
      </c>
      <c r="L34" s="270" t="s">
        <v>357</v>
      </c>
    </row>
    <row r="35" spans="1:12" x14ac:dyDescent="0.3">
      <c r="A35" s="277" t="s">
        <v>358</v>
      </c>
      <c r="B35" s="278">
        <f t="shared" si="0"/>
        <v>0</v>
      </c>
      <c r="C35" s="278" t="str">
        <f t="shared" si="1"/>
        <v>Antioquia</v>
      </c>
      <c r="D35" s="278" t="str">
        <f t="shared" si="2"/>
        <v>Briceño, Antioquia</v>
      </c>
      <c r="E35" s="279">
        <v>5107</v>
      </c>
      <c r="F35" s="280">
        <v>0.15</v>
      </c>
      <c r="G35" s="280">
        <v>0.2</v>
      </c>
      <c r="H35" s="280" t="s">
        <v>40</v>
      </c>
      <c r="I35" s="280">
        <v>0.12</v>
      </c>
      <c r="J35" s="281">
        <v>0.06</v>
      </c>
    </row>
    <row r="36" spans="1:12" x14ac:dyDescent="0.3">
      <c r="A36" s="277" t="s">
        <v>359</v>
      </c>
      <c r="B36" s="278">
        <f t="shared" si="0"/>
        <v>0</v>
      </c>
      <c r="C36" s="278" t="str">
        <f t="shared" si="1"/>
        <v>Antioquia</v>
      </c>
      <c r="D36" s="278" t="str">
        <f t="shared" si="2"/>
        <v>Buriticá, Antioquia</v>
      </c>
      <c r="E36" s="279">
        <v>5113</v>
      </c>
      <c r="F36" s="280">
        <v>0.2</v>
      </c>
      <c r="G36" s="280">
        <v>0.25</v>
      </c>
      <c r="H36" s="280" t="s">
        <v>322</v>
      </c>
      <c r="I36" s="280">
        <v>0.12</v>
      </c>
      <c r="J36" s="281">
        <v>7.0000000000000007E-2</v>
      </c>
    </row>
    <row r="37" spans="1:12" x14ac:dyDescent="0.3">
      <c r="A37" s="277" t="s">
        <v>360</v>
      </c>
      <c r="B37" s="278">
        <f t="shared" si="0"/>
        <v>0</v>
      </c>
      <c r="C37" s="278" t="str">
        <f t="shared" si="1"/>
        <v>Antioquia</v>
      </c>
      <c r="D37" s="278" t="str">
        <f t="shared" si="2"/>
        <v>Cañasgordas, Antioquia</v>
      </c>
      <c r="E37" s="279">
        <v>5138</v>
      </c>
      <c r="F37" s="280">
        <v>0.2</v>
      </c>
      <c r="G37" s="280">
        <v>0.25</v>
      </c>
      <c r="H37" s="280" t="s">
        <v>322</v>
      </c>
      <c r="I37" s="280">
        <v>0.12</v>
      </c>
      <c r="J37" s="281">
        <v>7.0000000000000007E-2</v>
      </c>
    </row>
    <row r="38" spans="1:12" x14ac:dyDescent="0.3">
      <c r="A38" s="277" t="s">
        <v>361</v>
      </c>
      <c r="B38" s="278">
        <f t="shared" si="0"/>
        <v>0</v>
      </c>
      <c r="C38" s="278" t="str">
        <f t="shared" si="1"/>
        <v>Antioquia</v>
      </c>
      <c r="D38" s="278" t="str">
        <f t="shared" si="2"/>
        <v>Cáceres, Antioquia</v>
      </c>
      <c r="E38" s="279">
        <v>5120</v>
      </c>
      <c r="F38" s="280">
        <v>0.15</v>
      </c>
      <c r="G38" s="280">
        <v>0.2</v>
      </c>
      <c r="H38" s="280" t="s">
        <v>40</v>
      </c>
      <c r="I38" s="280">
        <v>0.08</v>
      </c>
      <c r="J38" s="281">
        <v>0.03</v>
      </c>
    </row>
    <row r="39" spans="1:12" x14ac:dyDescent="0.3">
      <c r="A39" s="277" t="s">
        <v>362</v>
      </c>
      <c r="B39" s="278">
        <f t="shared" si="0"/>
        <v>0</v>
      </c>
      <c r="C39" s="278" t="str">
        <f t="shared" si="1"/>
        <v>Antioquia</v>
      </c>
      <c r="D39" s="278" t="str">
        <f t="shared" si="2"/>
        <v>Caicedo, Antioquia</v>
      </c>
      <c r="E39" s="279">
        <v>5125</v>
      </c>
      <c r="F39" s="280">
        <v>0.2</v>
      </c>
      <c r="G39" s="280">
        <v>0.25</v>
      </c>
      <c r="H39" s="280" t="s">
        <v>322</v>
      </c>
      <c r="I39" s="280">
        <v>0.13</v>
      </c>
      <c r="J39" s="281">
        <v>7.0000000000000007E-2</v>
      </c>
    </row>
    <row r="40" spans="1:12" x14ac:dyDescent="0.3">
      <c r="A40" s="277" t="s">
        <v>304</v>
      </c>
      <c r="B40" s="278">
        <f t="shared" si="0"/>
        <v>0</v>
      </c>
      <c r="C40" s="278" t="str">
        <f t="shared" si="1"/>
        <v>Antioquia</v>
      </c>
      <c r="D40" s="278" t="str">
        <f t="shared" si="2"/>
        <v>Caldas, Antioquia</v>
      </c>
      <c r="E40" s="279">
        <v>5129</v>
      </c>
      <c r="F40" s="280">
        <v>0.2</v>
      </c>
      <c r="G40" s="293">
        <v>0.25</v>
      </c>
      <c r="H40" s="293" t="s">
        <v>322</v>
      </c>
      <c r="I40" s="280">
        <v>0.16</v>
      </c>
      <c r="J40" s="281">
        <v>0.08</v>
      </c>
    </row>
    <row r="41" spans="1:12" x14ac:dyDescent="0.3">
      <c r="A41" s="277" t="s">
        <v>363</v>
      </c>
      <c r="B41" s="278">
        <f t="shared" si="0"/>
        <v>0</v>
      </c>
      <c r="C41" s="278" t="str">
        <f t="shared" si="1"/>
        <v>Antioquia</v>
      </c>
      <c r="D41" s="278" t="str">
        <f t="shared" si="2"/>
        <v>Campamento, Antioquia</v>
      </c>
      <c r="E41" s="279">
        <v>5134</v>
      </c>
      <c r="F41" s="280">
        <v>0.15</v>
      </c>
      <c r="G41" s="280">
        <v>0.2</v>
      </c>
      <c r="H41" s="280" t="s">
        <v>40</v>
      </c>
      <c r="I41" s="280">
        <v>0.08</v>
      </c>
      <c r="J41" s="281">
        <v>0.04</v>
      </c>
    </row>
    <row r="42" spans="1:12" x14ac:dyDescent="0.3">
      <c r="A42" s="277" t="s">
        <v>364</v>
      </c>
      <c r="B42" s="278">
        <f t="shared" si="0"/>
        <v>0</v>
      </c>
      <c r="C42" s="278" t="str">
        <f t="shared" si="1"/>
        <v>Antioquia</v>
      </c>
      <c r="D42" s="278" t="str">
        <f t="shared" si="2"/>
        <v>Caracolí, Antioquia</v>
      </c>
      <c r="E42" s="279">
        <v>5142</v>
      </c>
      <c r="F42" s="280">
        <v>0.15</v>
      </c>
      <c r="G42" s="280">
        <v>0.2</v>
      </c>
      <c r="H42" s="280" t="s">
        <v>40</v>
      </c>
      <c r="I42" s="280">
        <v>0.13</v>
      </c>
      <c r="J42" s="281">
        <v>0.06</v>
      </c>
    </row>
    <row r="43" spans="1:12" x14ac:dyDescent="0.3">
      <c r="A43" s="277" t="s">
        <v>365</v>
      </c>
      <c r="B43" s="278">
        <f t="shared" si="0"/>
        <v>0</v>
      </c>
      <c r="C43" s="278" t="str">
        <f t="shared" si="1"/>
        <v>Antioquia</v>
      </c>
      <c r="D43" s="278" t="str">
        <f t="shared" si="2"/>
        <v>Caramanta, Antioquia</v>
      </c>
      <c r="E43" s="279">
        <v>5145</v>
      </c>
      <c r="F43" s="280">
        <v>0.25</v>
      </c>
      <c r="G43" s="280">
        <v>0.25</v>
      </c>
      <c r="H43" s="280" t="s">
        <v>322</v>
      </c>
      <c r="I43" s="280">
        <v>0.15</v>
      </c>
      <c r="J43" s="281">
        <v>0.09</v>
      </c>
    </row>
    <row r="44" spans="1:12" x14ac:dyDescent="0.3">
      <c r="A44" s="277" t="s">
        <v>366</v>
      </c>
      <c r="B44" s="278">
        <f t="shared" si="0"/>
        <v>0</v>
      </c>
      <c r="C44" s="278" t="str">
        <f t="shared" si="1"/>
        <v>Antioquia</v>
      </c>
      <c r="D44" s="278" t="str">
        <f t="shared" si="2"/>
        <v>Carepa, Antioquia</v>
      </c>
      <c r="E44" s="279">
        <v>5147</v>
      </c>
      <c r="F44" s="280">
        <v>0.25</v>
      </c>
      <c r="G44" s="280">
        <v>0.25</v>
      </c>
      <c r="H44" s="280" t="s">
        <v>322</v>
      </c>
      <c r="I44" s="280">
        <v>0.16</v>
      </c>
      <c r="J44" s="281">
        <v>0.08</v>
      </c>
    </row>
    <row r="45" spans="1:12" x14ac:dyDescent="0.3">
      <c r="A45" s="277" t="s">
        <v>367</v>
      </c>
      <c r="B45" s="278">
        <f t="shared" si="0"/>
        <v>0</v>
      </c>
      <c r="C45" s="278" t="str">
        <f t="shared" si="1"/>
        <v>Antioquia</v>
      </c>
      <c r="D45" s="278" t="str">
        <f t="shared" si="2"/>
        <v>Carmen De Viboral, Antioquia</v>
      </c>
      <c r="E45" s="279">
        <v>5148</v>
      </c>
      <c r="F45" s="280">
        <v>0.15</v>
      </c>
      <c r="G45" s="280">
        <v>0.2</v>
      </c>
      <c r="H45" s="280" t="s">
        <v>40</v>
      </c>
      <c r="I45" s="280">
        <v>0.11</v>
      </c>
      <c r="J45" s="281">
        <v>0.06</v>
      </c>
    </row>
    <row r="46" spans="1:12" x14ac:dyDescent="0.3">
      <c r="A46" s="277" t="s">
        <v>368</v>
      </c>
      <c r="B46" s="278">
        <f t="shared" si="0"/>
        <v>0</v>
      </c>
      <c r="C46" s="278" t="str">
        <f t="shared" si="1"/>
        <v>Antioquia</v>
      </c>
      <c r="D46" s="278" t="str">
        <f t="shared" si="2"/>
        <v>Carolina, Antioquia</v>
      </c>
      <c r="E46" s="279">
        <v>5150</v>
      </c>
      <c r="F46" s="280">
        <v>0.15</v>
      </c>
      <c r="G46" s="280">
        <v>0.2</v>
      </c>
      <c r="H46" s="280" t="s">
        <v>40</v>
      </c>
      <c r="I46" s="280">
        <v>0.09</v>
      </c>
      <c r="J46" s="281">
        <v>0.05</v>
      </c>
    </row>
    <row r="47" spans="1:12" x14ac:dyDescent="0.3">
      <c r="A47" s="277" t="s">
        <v>369</v>
      </c>
      <c r="B47" s="278">
        <f t="shared" si="0"/>
        <v>0</v>
      </c>
      <c r="C47" s="278" t="str">
        <f t="shared" si="1"/>
        <v>Antioquia</v>
      </c>
      <c r="D47" s="278" t="str">
        <f t="shared" si="2"/>
        <v>Caucásia, Antioquia</v>
      </c>
      <c r="E47" s="279">
        <v>5154</v>
      </c>
      <c r="F47" s="280">
        <v>0.15</v>
      </c>
      <c r="G47" s="280">
        <v>0.2</v>
      </c>
      <c r="H47" s="280" t="s">
        <v>40</v>
      </c>
      <c r="I47" s="280">
        <v>0.04</v>
      </c>
      <c r="J47" s="281">
        <v>0.02</v>
      </c>
    </row>
    <row r="48" spans="1:12" x14ac:dyDescent="0.3">
      <c r="A48" s="277" t="s">
        <v>370</v>
      </c>
      <c r="B48" s="278">
        <f t="shared" si="0"/>
        <v>0</v>
      </c>
      <c r="C48" s="278" t="str">
        <f t="shared" si="1"/>
        <v>Antioquia</v>
      </c>
      <c r="D48" s="278" t="str">
        <f t="shared" si="2"/>
        <v>Chigorodó, Antioquia</v>
      </c>
      <c r="E48" s="279">
        <v>5172</v>
      </c>
      <c r="F48" s="280">
        <v>0.25</v>
      </c>
      <c r="G48" s="280">
        <v>0.3</v>
      </c>
      <c r="H48" s="280" t="s">
        <v>322</v>
      </c>
      <c r="I48" s="280">
        <v>0.19</v>
      </c>
      <c r="J48" s="281">
        <v>0.1</v>
      </c>
    </row>
    <row r="49" spans="1:10" x14ac:dyDescent="0.3">
      <c r="A49" s="277" t="s">
        <v>371</v>
      </c>
      <c r="B49" s="278">
        <f t="shared" si="0"/>
        <v>0</v>
      </c>
      <c r="C49" s="278" t="str">
        <f t="shared" si="1"/>
        <v>Antioquia</v>
      </c>
      <c r="D49" s="278" t="str">
        <f t="shared" si="2"/>
        <v>Cisneros, Antioquia</v>
      </c>
      <c r="E49" s="279">
        <v>5190</v>
      </c>
      <c r="F49" s="280">
        <v>0.15</v>
      </c>
      <c r="G49" s="280">
        <v>0.2</v>
      </c>
      <c r="H49" s="280" t="s">
        <v>40</v>
      </c>
      <c r="I49" s="280">
        <v>0.09</v>
      </c>
      <c r="J49" s="281">
        <v>0.04</v>
      </c>
    </row>
    <row r="50" spans="1:10" x14ac:dyDescent="0.3">
      <c r="A50" s="277" t="s">
        <v>372</v>
      </c>
      <c r="B50" s="278">
        <f t="shared" si="0"/>
        <v>0</v>
      </c>
      <c r="C50" s="278" t="str">
        <f t="shared" si="1"/>
        <v>Antioquia</v>
      </c>
      <c r="D50" s="278" t="str">
        <f t="shared" si="2"/>
        <v>Ciudad Bolívar, Antioquia</v>
      </c>
      <c r="E50" s="279">
        <v>5101</v>
      </c>
      <c r="F50" s="280">
        <v>0.25</v>
      </c>
      <c r="G50" s="280">
        <v>0.3</v>
      </c>
      <c r="H50" s="280" t="s">
        <v>322</v>
      </c>
      <c r="I50" s="280">
        <v>0.16</v>
      </c>
      <c r="J50" s="281">
        <v>0.1</v>
      </c>
    </row>
    <row r="51" spans="1:10" x14ac:dyDescent="0.3">
      <c r="A51" s="277" t="s">
        <v>373</v>
      </c>
      <c r="B51" s="278">
        <f t="shared" si="0"/>
        <v>0</v>
      </c>
      <c r="C51" s="278" t="str">
        <f t="shared" si="1"/>
        <v>Antioquia</v>
      </c>
      <c r="D51" s="278" t="str">
        <f t="shared" si="2"/>
        <v>Cocorná, Antioquia</v>
      </c>
      <c r="E51" s="279">
        <v>5197</v>
      </c>
      <c r="F51" s="280">
        <v>0.15</v>
      </c>
      <c r="G51" s="280">
        <v>0.2</v>
      </c>
      <c r="H51" s="280" t="s">
        <v>40</v>
      </c>
      <c r="I51" s="280">
        <v>0.11</v>
      </c>
      <c r="J51" s="281">
        <v>0.06</v>
      </c>
    </row>
    <row r="52" spans="1:10" x14ac:dyDescent="0.3">
      <c r="A52" s="277" t="s">
        <v>374</v>
      </c>
      <c r="B52" s="278">
        <f t="shared" si="0"/>
        <v>0</v>
      </c>
      <c r="C52" s="278" t="str">
        <f t="shared" si="1"/>
        <v>Antioquia</v>
      </c>
      <c r="D52" s="278" t="str">
        <f t="shared" si="2"/>
        <v>Concepción, Antioquia</v>
      </c>
      <c r="E52" s="279">
        <v>5206</v>
      </c>
      <c r="F52" s="280">
        <v>0.15</v>
      </c>
      <c r="G52" s="280">
        <v>0.2</v>
      </c>
      <c r="H52" s="280" t="s">
        <v>40</v>
      </c>
      <c r="I52" s="280">
        <v>0.1</v>
      </c>
      <c r="J52" s="281">
        <v>0.05</v>
      </c>
    </row>
    <row r="53" spans="1:10" x14ac:dyDescent="0.3">
      <c r="A53" s="277" t="s">
        <v>375</v>
      </c>
      <c r="B53" s="278">
        <f t="shared" si="0"/>
        <v>0</v>
      </c>
      <c r="C53" s="278" t="str">
        <f t="shared" si="1"/>
        <v>Antioquia</v>
      </c>
      <c r="D53" s="278" t="str">
        <f t="shared" si="2"/>
        <v>Concordia, Antioquia</v>
      </c>
      <c r="E53" s="279">
        <v>5209</v>
      </c>
      <c r="F53" s="280">
        <v>0.25</v>
      </c>
      <c r="G53" s="280">
        <v>0.25</v>
      </c>
      <c r="H53" s="280" t="s">
        <v>322</v>
      </c>
      <c r="I53" s="280">
        <v>0.15</v>
      </c>
      <c r="J53" s="281">
        <v>0.08</v>
      </c>
    </row>
    <row r="54" spans="1:10" x14ac:dyDescent="0.3">
      <c r="A54" s="277" t="s">
        <v>376</v>
      </c>
      <c r="B54" s="278">
        <f t="shared" si="0"/>
        <v>0</v>
      </c>
      <c r="C54" s="278" t="str">
        <f t="shared" si="1"/>
        <v>Antioquia</v>
      </c>
      <c r="D54" s="278" t="str">
        <f t="shared" si="2"/>
        <v>Copacabana, Antioquia</v>
      </c>
      <c r="E54" s="279">
        <v>5212</v>
      </c>
      <c r="F54" s="280">
        <v>0.15</v>
      </c>
      <c r="G54" s="280">
        <v>0.2</v>
      </c>
      <c r="H54" s="280" t="s">
        <v>40</v>
      </c>
      <c r="I54" s="280">
        <v>0.12</v>
      </c>
      <c r="J54" s="281">
        <v>0.06</v>
      </c>
    </row>
    <row r="55" spans="1:10" x14ac:dyDescent="0.3">
      <c r="A55" s="277" t="s">
        <v>377</v>
      </c>
      <c r="B55" s="278">
        <f t="shared" si="0"/>
        <v>0</v>
      </c>
      <c r="C55" s="278" t="str">
        <f t="shared" si="1"/>
        <v>Antioquia</v>
      </c>
      <c r="D55" s="278" t="str">
        <f t="shared" si="2"/>
        <v>Dabeiba, Antioquia</v>
      </c>
      <c r="E55" s="279">
        <v>5234</v>
      </c>
      <c r="F55" s="280">
        <v>0.25</v>
      </c>
      <c r="G55" s="280">
        <v>0.3</v>
      </c>
      <c r="H55" s="280" t="s">
        <v>322</v>
      </c>
      <c r="I55" s="280">
        <v>0.13</v>
      </c>
      <c r="J55" s="281">
        <v>0.08</v>
      </c>
    </row>
    <row r="56" spans="1:10" x14ac:dyDescent="0.3">
      <c r="A56" s="277" t="s">
        <v>378</v>
      </c>
      <c r="B56" s="278">
        <f t="shared" si="0"/>
        <v>0</v>
      </c>
      <c r="C56" s="278" t="str">
        <f t="shared" si="1"/>
        <v>Antioquia</v>
      </c>
      <c r="D56" s="278" t="str">
        <f t="shared" si="2"/>
        <v>Don Matías, Antioquia</v>
      </c>
      <c r="E56" s="279">
        <v>5237</v>
      </c>
      <c r="F56" s="280">
        <v>0.15</v>
      </c>
      <c r="G56" s="280">
        <v>0.2</v>
      </c>
      <c r="H56" s="280" t="s">
        <v>40</v>
      </c>
      <c r="I56" s="280">
        <v>0.1</v>
      </c>
      <c r="J56" s="281">
        <v>0.05</v>
      </c>
    </row>
    <row r="57" spans="1:10" x14ac:dyDescent="0.3">
      <c r="A57" s="277" t="s">
        <v>379</v>
      </c>
      <c r="B57" s="278">
        <f t="shared" si="0"/>
        <v>0</v>
      </c>
      <c r="C57" s="278" t="str">
        <f t="shared" si="1"/>
        <v>Antioquia</v>
      </c>
      <c r="D57" s="278" t="str">
        <f t="shared" si="2"/>
        <v>Ebéjico, Antioquia</v>
      </c>
      <c r="E57" s="279">
        <v>5240</v>
      </c>
      <c r="F57" s="280">
        <v>0.15</v>
      </c>
      <c r="G57" s="280">
        <v>0.25</v>
      </c>
      <c r="H57" s="280" t="s">
        <v>322</v>
      </c>
      <c r="I57" s="280">
        <v>0.15</v>
      </c>
      <c r="J57" s="281">
        <v>0.08</v>
      </c>
    </row>
    <row r="58" spans="1:10" x14ac:dyDescent="0.3">
      <c r="A58" s="277" t="s">
        <v>380</v>
      </c>
      <c r="B58" s="278">
        <f t="shared" si="0"/>
        <v>0</v>
      </c>
      <c r="C58" s="278" t="str">
        <f t="shared" si="1"/>
        <v>Antioquia</v>
      </c>
      <c r="D58" s="278" t="str">
        <f t="shared" si="2"/>
        <v>El Bagre, Antioquia</v>
      </c>
      <c r="E58" s="279">
        <v>5250</v>
      </c>
      <c r="F58" s="280">
        <v>0.15</v>
      </c>
      <c r="G58" s="280">
        <v>0.15</v>
      </c>
      <c r="H58" s="280" t="s">
        <v>40</v>
      </c>
      <c r="I58" s="280">
        <v>7.0000000000000007E-2</v>
      </c>
      <c r="J58" s="281">
        <v>0.04</v>
      </c>
    </row>
    <row r="59" spans="1:10" x14ac:dyDescent="0.3">
      <c r="A59" s="277" t="s">
        <v>381</v>
      </c>
      <c r="B59" s="278">
        <f t="shared" si="0"/>
        <v>0</v>
      </c>
      <c r="C59" s="278" t="str">
        <f t="shared" si="1"/>
        <v>Antioquia</v>
      </c>
      <c r="D59" s="278" t="str">
        <f t="shared" si="2"/>
        <v>Entrerríos, Antioquia</v>
      </c>
      <c r="E59" s="279">
        <v>5264</v>
      </c>
      <c r="F59" s="280">
        <v>0.15</v>
      </c>
      <c r="G59" s="280">
        <v>0.2</v>
      </c>
      <c r="H59" s="280" t="s">
        <v>40</v>
      </c>
      <c r="I59" s="280">
        <v>0.11</v>
      </c>
      <c r="J59" s="281">
        <v>0.06</v>
      </c>
    </row>
    <row r="60" spans="1:10" x14ac:dyDescent="0.3">
      <c r="A60" s="277" t="s">
        <v>382</v>
      </c>
      <c r="B60" s="278">
        <f t="shared" si="0"/>
        <v>0</v>
      </c>
      <c r="C60" s="278" t="str">
        <f t="shared" si="1"/>
        <v>Antioquia</v>
      </c>
      <c r="D60" s="278" t="str">
        <f t="shared" si="2"/>
        <v>Envigado, Antioquia</v>
      </c>
      <c r="E60" s="279">
        <v>5266</v>
      </c>
      <c r="F60" s="280">
        <v>0.15</v>
      </c>
      <c r="G60" s="280">
        <v>0.2</v>
      </c>
      <c r="H60" s="280" t="s">
        <v>40</v>
      </c>
      <c r="I60" s="280">
        <v>0.13</v>
      </c>
      <c r="J60" s="281">
        <v>7.0000000000000007E-2</v>
      </c>
    </row>
    <row r="61" spans="1:10" x14ac:dyDescent="0.3">
      <c r="A61" s="277" t="s">
        <v>383</v>
      </c>
      <c r="B61" s="278">
        <f t="shared" si="0"/>
        <v>0</v>
      </c>
      <c r="C61" s="278" t="str">
        <f t="shared" si="1"/>
        <v>Antioquia</v>
      </c>
      <c r="D61" s="278" t="str">
        <f t="shared" si="2"/>
        <v>Fredonia, Antioquia</v>
      </c>
      <c r="E61" s="279">
        <v>5282</v>
      </c>
      <c r="F61" s="280">
        <v>0.2</v>
      </c>
      <c r="G61" s="280">
        <v>0.25</v>
      </c>
      <c r="H61" s="280" t="s">
        <v>322</v>
      </c>
      <c r="I61" s="280">
        <v>0.16</v>
      </c>
      <c r="J61" s="281">
        <v>0.09</v>
      </c>
    </row>
    <row r="62" spans="1:10" x14ac:dyDescent="0.3">
      <c r="A62" s="277" t="s">
        <v>384</v>
      </c>
      <c r="B62" s="278">
        <f t="shared" si="0"/>
        <v>0</v>
      </c>
      <c r="C62" s="278" t="str">
        <f t="shared" si="1"/>
        <v>Antioquia</v>
      </c>
      <c r="D62" s="278" t="str">
        <f t="shared" si="2"/>
        <v>Frontino, Antioquia</v>
      </c>
      <c r="E62" s="279">
        <v>5284</v>
      </c>
      <c r="F62" s="280">
        <v>0.3</v>
      </c>
      <c r="G62" s="280">
        <v>0.3</v>
      </c>
      <c r="H62" s="280" t="s">
        <v>322</v>
      </c>
      <c r="I62" s="280">
        <v>0.15</v>
      </c>
      <c r="J62" s="281">
        <v>0.09</v>
      </c>
    </row>
    <row r="63" spans="1:10" x14ac:dyDescent="0.3">
      <c r="A63" s="277" t="s">
        <v>385</v>
      </c>
      <c r="B63" s="278">
        <f t="shared" si="0"/>
        <v>0</v>
      </c>
      <c r="C63" s="278" t="str">
        <f t="shared" si="1"/>
        <v>Antioquia</v>
      </c>
      <c r="D63" s="278" t="str">
        <f t="shared" si="2"/>
        <v>Giraldo, Antioquia</v>
      </c>
      <c r="E63" s="279">
        <v>5306</v>
      </c>
      <c r="F63" s="280">
        <v>0.2</v>
      </c>
      <c r="G63" s="280">
        <v>0.25</v>
      </c>
      <c r="H63" s="280" t="s">
        <v>322</v>
      </c>
      <c r="I63" s="280">
        <v>0.12</v>
      </c>
      <c r="J63" s="281">
        <v>7.0000000000000007E-2</v>
      </c>
    </row>
    <row r="64" spans="1:10" x14ac:dyDescent="0.3">
      <c r="A64" s="277" t="s">
        <v>386</v>
      </c>
      <c r="B64" s="278">
        <f t="shared" si="0"/>
        <v>0</v>
      </c>
      <c r="C64" s="278" t="str">
        <f t="shared" si="1"/>
        <v>Antioquia</v>
      </c>
      <c r="D64" s="278" t="str">
        <f t="shared" si="2"/>
        <v>Girardota, Antioquia</v>
      </c>
      <c r="E64" s="279">
        <v>5308</v>
      </c>
      <c r="F64" s="280">
        <v>0.15</v>
      </c>
      <c r="G64" s="280">
        <v>0.2</v>
      </c>
      <c r="H64" s="280" t="s">
        <v>40</v>
      </c>
      <c r="I64" s="280">
        <v>0.11</v>
      </c>
      <c r="J64" s="281">
        <v>0.06</v>
      </c>
    </row>
    <row r="65" spans="1:10" x14ac:dyDescent="0.3">
      <c r="A65" s="277" t="s">
        <v>387</v>
      </c>
      <c r="B65" s="278">
        <f t="shared" si="0"/>
        <v>0</v>
      </c>
      <c r="C65" s="278" t="str">
        <f t="shared" si="1"/>
        <v>Antioquia</v>
      </c>
      <c r="D65" s="278" t="str">
        <f t="shared" si="2"/>
        <v>Gómez Plata, Antioquia</v>
      </c>
      <c r="E65" s="279">
        <v>5310</v>
      </c>
      <c r="F65" s="280">
        <v>0.15</v>
      </c>
      <c r="G65" s="280">
        <v>0.2</v>
      </c>
      <c r="H65" s="280" t="s">
        <v>40</v>
      </c>
      <c r="I65" s="280">
        <v>0.08</v>
      </c>
      <c r="J65" s="281">
        <v>0.04</v>
      </c>
    </row>
    <row r="66" spans="1:10" x14ac:dyDescent="0.3">
      <c r="A66" s="277" t="s">
        <v>388</v>
      </c>
      <c r="B66" s="278">
        <f t="shared" si="0"/>
        <v>0</v>
      </c>
      <c r="C66" s="278" t="str">
        <f t="shared" si="1"/>
        <v>Antioquia</v>
      </c>
      <c r="D66" s="278" t="str">
        <f t="shared" si="2"/>
        <v>Granada, Antioquia</v>
      </c>
      <c r="E66" s="279">
        <v>5313</v>
      </c>
      <c r="F66" s="280">
        <v>0.15</v>
      </c>
      <c r="G66" s="280">
        <v>0.2</v>
      </c>
      <c r="H66" s="280" t="s">
        <v>40</v>
      </c>
      <c r="I66" s="280">
        <v>0.1</v>
      </c>
      <c r="J66" s="281">
        <v>0.05</v>
      </c>
    </row>
    <row r="67" spans="1:10" x14ac:dyDescent="0.3">
      <c r="A67" s="277" t="s">
        <v>389</v>
      </c>
      <c r="B67" s="278">
        <f t="shared" ref="B67:B130" si="3">IFERROR(FIND("Departamento",A67),0)</f>
        <v>0</v>
      </c>
      <c r="C67" s="278" t="str">
        <f t="shared" ref="C67:C130" si="4">IF(B67=1,IF(ISERROR(FIND("del",A67)),MID(A67,17,30),MID(A67,18,30)),C66)</f>
        <v>Antioquia</v>
      </c>
      <c r="D67" s="278" t="str">
        <f t="shared" ref="D67:D130" si="5">IF(B67=1,"",CONCATENATE(A67,", ",C67))</f>
        <v>Guadalupe, Antioquia</v>
      </c>
      <c r="E67" s="279">
        <v>5315</v>
      </c>
      <c r="F67" s="280">
        <v>0.15</v>
      </c>
      <c r="G67" s="280">
        <v>0.2</v>
      </c>
      <c r="H67" s="280" t="s">
        <v>40</v>
      </c>
      <c r="I67" s="280">
        <v>0.08</v>
      </c>
      <c r="J67" s="281">
        <v>0.04</v>
      </c>
    </row>
    <row r="68" spans="1:10" x14ac:dyDescent="0.3">
      <c r="A68" s="277" t="s">
        <v>390</v>
      </c>
      <c r="B68" s="278">
        <f t="shared" si="3"/>
        <v>0</v>
      </c>
      <c r="C68" s="278" t="str">
        <f t="shared" si="4"/>
        <v>Antioquia</v>
      </c>
      <c r="D68" s="278" t="str">
        <f t="shared" si="5"/>
        <v>Guarne, Antioquia</v>
      </c>
      <c r="E68" s="279">
        <v>5318</v>
      </c>
      <c r="F68" s="280">
        <v>0.15</v>
      </c>
      <c r="G68" s="280">
        <v>0.2</v>
      </c>
      <c r="H68" s="280" t="s">
        <v>40</v>
      </c>
      <c r="I68" s="280">
        <v>0.12</v>
      </c>
      <c r="J68" s="281">
        <v>0.06</v>
      </c>
    </row>
    <row r="69" spans="1:10" x14ac:dyDescent="0.3">
      <c r="A69" s="277" t="s">
        <v>391</v>
      </c>
      <c r="B69" s="278">
        <f t="shared" si="3"/>
        <v>0</v>
      </c>
      <c r="C69" s="278" t="str">
        <f t="shared" si="4"/>
        <v>Antioquia</v>
      </c>
      <c r="D69" s="278" t="str">
        <f t="shared" si="5"/>
        <v>Guatapé, Antioquia</v>
      </c>
      <c r="E69" s="279">
        <v>5321</v>
      </c>
      <c r="F69" s="280">
        <v>0.15</v>
      </c>
      <c r="G69" s="280">
        <v>0.2</v>
      </c>
      <c r="H69" s="280" t="s">
        <v>40</v>
      </c>
      <c r="I69" s="280">
        <v>0.1</v>
      </c>
      <c r="J69" s="281">
        <v>0.05</v>
      </c>
    </row>
    <row r="70" spans="1:10" x14ac:dyDescent="0.3">
      <c r="A70" s="277" t="s">
        <v>392</v>
      </c>
      <c r="B70" s="278">
        <f t="shared" si="3"/>
        <v>0</v>
      </c>
      <c r="C70" s="278" t="str">
        <f t="shared" si="4"/>
        <v>Antioquia</v>
      </c>
      <c r="D70" s="278" t="str">
        <f t="shared" si="5"/>
        <v>Heliconia, Antioquia</v>
      </c>
      <c r="E70" s="279">
        <v>5347</v>
      </c>
      <c r="F70" s="280">
        <v>0.15</v>
      </c>
      <c r="G70" s="280">
        <v>0.25</v>
      </c>
      <c r="H70" s="280" t="s">
        <v>322</v>
      </c>
      <c r="I70" s="280">
        <v>0.16</v>
      </c>
      <c r="J70" s="281">
        <v>0.08</v>
      </c>
    </row>
    <row r="71" spans="1:10" x14ac:dyDescent="0.3">
      <c r="A71" s="277" t="s">
        <v>393</v>
      </c>
      <c r="B71" s="278">
        <f t="shared" si="3"/>
        <v>0</v>
      </c>
      <c r="C71" s="278" t="str">
        <f t="shared" si="4"/>
        <v>Antioquia</v>
      </c>
      <c r="D71" s="278" t="str">
        <f t="shared" si="5"/>
        <v>Hispania, Antioquia</v>
      </c>
      <c r="E71" s="279">
        <v>5353</v>
      </c>
      <c r="F71" s="280">
        <v>0.25</v>
      </c>
      <c r="G71" s="280">
        <v>0.3</v>
      </c>
      <c r="H71" s="280" t="s">
        <v>322</v>
      </c>
      <c r="I71" s="280">
        <v>0.16</v>
      </c>
      <c r="J71" s="281">
        <v>0.1</v>
      </c>
    </row>
    <row r="72" spans="1:10" x14ac:dyDescent="0.3">
      <c r="A72" s="277" t="s">
        <v>394</v>
      </c>
      <c r="B72" s="278">
        <f t="shared" si="3"/>
        <v>0</v>
      </c>
      <c r="C72" s="278" t="str">
        <f t="shared" si="4"/>
        <v>Antioquia</v>
      </c>
      <c r="D72" s="278" t="str">
        <f t="shared" si="5"/>
        <v>Itagüí, Antioquia</v>
      </c>
      <c r="E72" s="279">
        <v>5360</v>
      </c>
      <c r="F72" s="280">
        <v>0.15</v>
      </c>
      <c r="G72" s="280">
        <v>0.2</v>
      </c>
      <c r="H72" s="280" t="s">
        <v>40</v>
      </c>
      <c r="I72" s="280">
        <v>0.14000000000000001</v>
      </c>
      <c r="J72" s="281">
        <v>0.08</v>
      </c>
    </row>
    <row r="73" spans="1:10" x14ac:dyDescent="0.3">
      <c r="A73" s="277" t="s">
        <v>395</v>
      </c>
      <c r="B73" s="278">
        <f t="shared" si="3"/>
        <v>0</v>
      </c>
      <c r="C73" s="278" t="str">
        <f t="shared" si="4"/>
        <v>Antioquia</v>
      </c>
      <c r="D73" s="278" t="str">
        <f t="shared" si="5"/>
        <v>Ituango, Antioquia</v>
      </c>
      <c r="E73" s="279">
        <v>5361</v>
      </c>
      <c r="F73" s="280">
        <v>0.2</v>
      </c>
      <c r="G73" s="280">
        <v>0.2</v>
      </c>
      <c r="H73" s="280" t="s">
        <v>40</v>
      </c>
      <c r="I73" s="280">
        <v>0.09</v>
      </c>
      <c r="J73" s="281">
        <v>0.05</v>
      </c>
    </row>
    <row r="74" spans="1:10" x14ac:dyDescent="0.3">
      <c r="A74" s="277" t="s">
        <v>396</v>
      </c>
      <c r="B74" s="278">
        <f t="shared" si="3"/>
        <v>0</v>
      </c>
      <c r="C74" s="278" t="str">
        <f t="shared" si="4"/>
        <v>Antioquia</v>
      </c>
      <c r="D74" s="278" t="str">
        <f t="shared" si="5"/>
        <v>Jardín, Antioquia</v>
      </c>
      <c r="E74" s="279">
        <v>5364</v>
      </c>
      <c r="F74" s="280">
        <v>0.25</v>
      </c>
      <c r="G74" s="280">
        <v>0.3</v>
      </c>
      <c r="H74" s="280" t="s">
        <v>322</v>
      </c>
      <c r="I74" s="280">
        <v>0.2</v>
      </c>
      <c r="J74" s="281">
        <v>0.11</v>
      </c>
    </row>
    <row r="75" spans="1:10" x14ac:dyDescent="0.3">
      <c r="A75" s="277" t="s">
        <v>397</v>
      </c>
      <c r="B75" s="278">
        <f t="shared" si="3"/>
        <v>0</v>
      </c>
      <c r="C75" s="278" t="str">
        <f t="shared" si="4"/>
        <v>Antioquia</v>
      </c>
      <c r="D75" s="278" t="str">
        <f t="shared" si="5"/>
        <v>Jericó, Antioquia</v>
      </c>
      <c r="E75" s="279">
        <v>5368</v>
      </c>
      <c r="F75" s="280">
        <v>0.25</v>
      </c>
      <c r="G75" s="280">
        <v>0.25</v>
      </c>
      <c r="H75" s="280" t="s">
        <v>322</v>
      </c>
      <c r="I75" s="280">
        <v>0.18</v>
      </c>
      <c r="J75" s="281">
        <v>0.1</v>
      </c>
    </row>
    <row r="76" spans="1:10" x14ac:dyDescent="0.3">
      <c r="A76" s="277" t="s">
        <v>398</v>
      </c>
      <c r="B76" s="278">
        <f t="shared" si="3"/>
        <v>0</v>
      </c>
      <c r="C76" s="278" t="str">
        <f t="shared" si="4"/>
        <v>Antioquia</v>
      </c>
      <c r="D76" s="278" t="str">
        <f t="shared" si="5"/>
        <v>La Ceja, Antioquia</v>
      </c>
      <c r="E76" s="279">
        <v>5376</v>
      </c>
      <c r="F76" s="280">
        <v>0.15</v>
      </c>
      <c r="G76" s="280">
        <v>0.2</v>
      </c>
      <c r="H76" s="280" t="s">
        <v>40</v>
      </c>
      <c r="I76" s="280">
        <v>0.13</v>
      </c>
      <c r="J76" s="281">
        <v>7.0000000000000007E-2</v>
      </c>
    </row>
    <row r="77" spans="1:10" x14ac:dyDescent="0.3">
      <c r="A77" s="277" t="s">
        <v>399</v>
      </c>
      <c r="B77" s="278">
        <f t="shared" si="3"/>
        <v>0</v>
      </c>
      <c r="C77" s="278" t="str">
        <f t="shared" si="4"/>
        <v>Antioquia</v>
      </c>
      <c r="D77" s="278" t="str">
        <f t="shared" si="5"/>
        <v>La Estrella, Antioquia</v>
      </c>
      <c r="E77" s="279">
        <v>5380</v>
      </c>
      <c r="F77" s="280">
        <v>0.15</v>
      </c>
      <c r="G77" s="280">
        <v>0.25</v>
      </c>
      <c r="H77" s="280" t="s">
        <v>322</v>
      </c>
      <c r="I77" s="280">
        <v>0.15</v>
      </c>
      <c r="J77" s="281">
        <v>0.08</v>
      </c>
    </row>
    <row r="78" spans="1:10" x14ac:dyDescent="0.3">
      <c r="A78" s="277" t="s">
        <v>400</v>
      </c>
      <c r="B78" s="278">
        <f t="shared" si="3"/>
        <v>0</v>
      </c>
      <c r="C78" s="278" t="str">
        <f t="shared" si="4"/>
        <v>Antioquia</v>
      </c>
      <c r="D78" s="278" t="str">
        <f t="shared" si="5"/>
        <v>La Pintada, Antioquia</v>
      </c>
      <c r="E78" s="279">
        <v>5390</v>
      </c>
      <c r="F78" s="280">
        <v>0.25</v>
      </c>
      <c r="G78" s="280">
        <v>0.25</v>
      </c>
      <c r="H78" s="280" t="s">
        <v>322</v>
      </c>
      <c r="I78" s="280">
        <v>0.16</v>
      </c>
      <c r="J78" s="281">
        <v>0.09</v>
      </c>
    </row>
    <row r="79" spans="1:10" x14ac:dyDescent="0.3">
      <c r="A79" s="277" t="s">
        <v>401</v>
      </c>
      <c r="B79" s="278">
        <f t="shared" si="3"/>
        <v>0</v>
      </c>
      <c r="C79" s="278" t="str">
        <f t="shared" si="4"/>
        <v>Antioquia</v>
      </c>
      <c r="D79" s="278" t="str">
        <f t="shared" si="5"/>
        <v>La Unión, Antioquia</v>
      </c>
      <c r="E79" s="279">
        <v>5400</v>
      </c>
      <c r="F79" s="280">
        <v>0.15</v>
      </c>
      <c r="G79" s="280">
        <v>0.2</v>
      </c>
      <c r="H79" s="280" t="s">
        <v>40</v>
      </c>
      <c r="I79" s="280">
        <v>0.12</v>
      </c>
      <c r="J79" s="281">
        <v>0.06</v>
      </c>
    </row>
    <row r="80" spans="1:10" x14ac:dyDescent="0.3">
      <c r="A80" s="277" t="s">
        <v>402</v>
      </c>
      <c r="B80" s="278">
        <f t="shared" si="3"/>
        <v>0</v>
      </c>
      <c r="C80" s="278" t="str">
        <f t="shared" si="4"/>
        <v>Antioquia</v>
      </c>
      <c r="D80" s="278" t="str">
        <f t="shared" si="5"/>
        <v>Liborina, Antioquia</v>
      </c>
      <c r="E80" s="279">
        <v>5411</v>
      </c>
      <c r="F80" s="280">
        <v>0.15</v>
      </c>
      <c r="G80" s="280">
        <v>0.2</v>
      </c>
      <c r="H80" s="280" t="s">
        <v>40</v>
      </c>
      <c r="I80" s="280">
        <v>0.14000000000000001</v>
      </c>
      <c r="J80" s="281">
        <v>7.0000000000000007E-2</v>
      </c>
    </row>
    <row r="81" spans="1:10" x14ac:dyDescent="0.3">
      <c r="A81" s="277" t="s">
        <v>403</v>
      </c>
      <c r="B81" s="278">
        <f t="shared" si="3"/>
        <v>0</v>
      </c>
      <c r="C81" s="278" t="str">
        <f t="shared" si="4"/>
        <v>Antioquia</v>
      </c>
      <c r="D81" s="278" t="str">
        <f t="shared" si="5"/>
        <v>Maceo, Antioquia</v>
      </c>
      <c r="E81" s="279">
        <v>5425</v>
      </c>
      <c r="F81" s="280">
        <v>0.15</v>
      </c>
      <c r="G81" s="280">
        <v>0.2</v>
      </c>
      <c r="H81" s="280" t="s">
        <v>40</v>
      </c>
      <c r="I81" s="280">
        <v>0.11</v>
      </c>
      <c r="J81" s="281">
        <v>0.06</v>
      </c>
    </row>
    <row r="82" spans="1:10" x14ac:dyDescent="0.3">
      <c r="A82" s="277" t="s">
        <v>404</v>
      </c>
      <c r="B82" s="278">
        <f t="shared" si="3"/>
        <v>0</v>
      </c>
      <c r="C82" s="278" t="str">
        <f t="shared" si="4"/>
        <v>Antioquia</v>
      </c>
      <c r="D82" s="278" t="str">
        <f t="shared" si="5"/>
        <v>Marinilla, Antioquia</v>
      </c>
      <c r="E82" s="279">
        <v>5440</v>
      </c>
      <c r="F82" s="280">
        <v>0.15</v>
      </c>
      <c r="G82" s="280">
        <v>0.2</v>
      </c>
      <c r="H82" s="280" t="s">
        <v>40</v>
      </c>
      <c r="I82" s="280">
        <v>0.11</v>
      </c>
      <c r="J82" s="281">
        <v>0.06</v>
      </c>
    </row>
    <row r="83" spans="1:10" x14ac:dyDescent="0.3">
      <c r="A83" s="277" t="s">
        <v>405</v>
      </c>
      <c r="B83" s="278">
        <f t="shared" si="3"/>
        <v>0</v>
      </c>
      <c r="C83" s="278" t="str">
        <f t="shared" si="4"/>
        <v>Antioquia</v>
      </c>
      <c r="D83" s="278" t="str">
        <f t="shared" si="5"/>
        <v>Montebello, Antioquia</v>
      </c>
      <c r="E83" s="279">
        <v>5467</v>
      </c>
      <c r="F83" s="280">
        <v>0.2</v>
      </c>
      <c r="G83" s="280">
        <v>0.25</v>
      </c>
      <c r="H83" s="280" t="s">
        <v>322</v>
      </c>
      <c r="I83" s="280">
        <v>0.14000000000000001</v>
      </c>
      <c r="J83" s="281">
        <v>0.08</v>
      </c>
    </row>
    <row r="84" spans="1:10" x14ac:dyDescent="0.3">
      <c r="A84" s="277" t="s">
        <v>406</v>
      </c>
      <c r="B84" s="278">
        <f t="shared" si="3"/>
        <v>0</v>
      </c>
      <c r="C84" s="278" t="str">
        <f t="shared" si="4"/>
        <v>Antioquia</v>
      </c>
      <c r="D84" s="278" t="str">
        <f t="shared" si="5"/>
        <v>Murindó, Antioquia</v>
      </c>
      <c r="E84" s="279">
        <v>5475</v>
      </c>
      <c r="F84" s="280">
        <v>0.35</v>
      </c>
      <c r="G84" s="280">
        <v>0.35</v>
      </c>
      <c r="H84" s="280" t="s">
        <v>322</v>
      </c>
      <c r="I84" s="280">
        <v>0.25</v>
      </c>
      <c r="J84" s="281">
        <v>0.13</v>
      </c>
    </row>
    <row r="85" spans="1:10" x14ac:dyDescent="0.3">
      <c r="A85" s="277" t="s">
        <v>407</v>
      </c>
      <c r="B85" s="278">
        <f t="shared" si="3"/>
        <v>0</v>
      </c>
      <c r="C85" s="278" t="str">
        <f t="shared" si="4"/>
        <v>Antioquia</v>
      </c>
      <c r="D85" s="278" t="str">
        <f t="shared" si="5"/>
        <v>Mutatá, Antioquia</v>
      </c>
      <c r="E85" s="279">
        <v>5480</v>
      </c>
      <c r="F85" s="280">
        <v>0.25</v>
      </c>
      <c r="G85" s="280">
        <v>0.3</v>
      </c>
      <c r="H85" s="280" t="s">
        <v>322</v>
      </c>
      <c r="I85" s="280">
        <v>0.16</v>
      </c>
      <c r="J85" s="281">
        <v>0.09</v>
      </c>
    </row>
    <row r="86" spans="1:10" x14ac:dyDescent="0.3">
      <c r="A86" s="277" t="s">
        <v>327</v>
      </c>
      <c r="B86" s="278">
        <f t="shared" si="3"/>
        <v>0</v>
      </c>
      <c r="C86" s="278" t="str">
        <f t="shared" si="4"/>
        <v>Antioquia</v>
      </c>
      <c r="D86" s="278" t="str">
        <f t="shared" si="5"/>
        <v>Nariño, Antioquia</v>
      </c>
      <c r="E86" s="279">
        <v>5483</v>
      </c>
      <c r="F86" s="280">
        <v>0.2</v>
      </c>
      <c r="G86" s="280">
        <v>0.2</v>
      </c>
      <c r="H86" s="280" t="s">
        <v>40</v>
      </c>
      <c r="I86" s="280">
        <v>0.12</v>
      </c>
      <c r="J86" s="281">
        <v>7.0000000000000007E-2</v>
      </c>
    </row>
    <row r="87" spans="1:10" x14ac:dyDescent="0.3">
      <c r="A87" s="277" t="s">
        <v>408</v>
      </c>
      <c r="B87" s="278">
        <f t="shared" si="3"/>
        <v>0</v>
      </c>
      <c r="C87" s="278" t="str">
        <f t="shared" si="4"/>
        <v>Antioquia</v>
      </c>
      <c r="D87" s="278" t="str">
        <f t="shared" si="5"/>
        <v>Nechí, Antioquia</v>
      </c>
      <c r="E87" s="279">
        <v>5495</v>
      </c>
      <c r="F87" s="280">
        <v>0.15</v>
      </c>
      <c r="G87" s="280">
        <v>0.15</v>
      </c>
      <c r="H87" s="280" t="s">
        <v>40</v>
      </c>
      <c r="I87" s="280">
        <v>0.05</v>
      </c>
      <c r="J87" s="281">
        <v>0.03</v>
      </c>
    </row>
    <row r="88" spans="1:10" x14ac:dyDescent="0.3">
      <c r="A88" s="277" t="s">
        <v>409</v>
      </c>
      <c r="B88" s="278">
        <f t="shared" si="3"/>
        <v>0</v>
      </c>
      <c r="C88" s="278" t="str">
        <f t="shared" si="4"/>
        <v>Antioquia</v>
      </c>
      <c r="D88" s="278" t="str">
        <f t="shared" si="5"/>
        <v>Necoclí, Antioquia</v>
      </c>
      <c r="E88" s="279">
        <v>5490</v>
      </c>
      <c r="F88" s="280">
        <v>0.2</v>
      </c>
      <c r="G88" s="280">
        <v>0.2</v>
      </c>
      <c r="H88" s="280" t="s">
        <v>40</v>
      </c>
      <c r="I88" s="280">
        <v>0.15</v>
      </c>
      <c r="J88" s="281">
        <v>7.0000000000000007E-2</v>
      </c>
    </row>
    <row r="89" spans="1:10" x14ac:dyDescent="0.3">
      <c r="A89" s="277" t="s">
        <v>410</v>
      </c>
      <c r="B89" s="278">
        <f t="shared" si="3"/>
        <v>0</v>
      </c>
      <c r="C89" s="278" t="str">
        <f t="shared" si="4"/>
        <v>Antioquia</v>
      </c>
      <c r="D89" s="278" t="str">
        <f t="shared" si="5"/>
        <v>Olaya, Antioquia</v>
      </c>
      <c r="E89" s="279">
        <v>5501</v>
      </c>
      <c r="F89" s="280">
        <v>0.15</v>
      </c>
      <c r="G89" s="280">
        <v>0.2</v>
      </c>
      <c r="H89" s="280" t="s">
        <v>40</v>
      </c>
      <c r="I89" s="280">
        <v>0.15</v>
      </c>
      <c r="J89" s="281">
        <v>7.0000000000000007E-2</v>
      </c>
    </row>
    <row r="90" spans="1:10" x14ac:dyDescent="0.3">
      <c r="A90" s="277" t="s">
        <v>411</v>
      </c>
      <c r="B90" s="278">
        <f t="shared" si="3"/>
        <v>0</v>
      </c>
      <c r="C90" s="278" t="str">
        <f t="shared" si="4"/>
        <v>Antioquia</v>
      </c>
      <c r="D90" s="278" t="str">
        <f t="shared" si="5"/>
        <v>Peñol, Antioquia</v>
      </c>
      <c r="E90" s="279">
        <v>5541</v>
      </c>
      <c r="F90" s="280">
        <v>0.15</v>
      </c>
      <c r="G90" s="280">
        <v>0.2</v>
      </c>
      <c r="H90" s="280" t="s">
        <v>40</v>
      </c>
      <c r="I90" s="280">
        <v>0.1</v>
      </c>
      <c r="J90" s="281">
        <v>0.05</v>
      </c>
    </row>
    <row r="91" spans="1:10" x14ac:dyDescent="0.3">
      <c r="A91" s="277" t="s">
        <v>412</v>
      </c>
      <c r="B91" s="278">
        <f t="shared" si="3"/>
        <v>0</v>
      </c>
      <c r="C91" s="278" t="str">
        <f t="shared" si="4"/>
        <v>Antioquia</v>
      </c>
      <c r="D91" s="278" t="str">
        <f t="shared" si="5"/>
        <v>Peque, Antioquia</v>
      </c>
      <c r="E91" s="279">
        <v>5543</v>
      </c>
      <c r="F91" s="280">
        <v>0.2</v>
      </c>
      <c r="G91" s="280">
        <v>0.25</v>
      </c>
      <c r="H91" s="280" t="s">
        <v>322</v>
      </c>
      <c r="I91" s="280">
        <v>0.11</v>
      </c>
      <c r="J91" s="281">
        <v>0.06</v>
      </c>
    </row>
    <row r="92" spans="1:10" x14ac:dyDescent="0.3">
      <c r="A92" s="277" t="s">
        <v>413</v>
      </c>
      <c r="B92" s="278">
        <f t="shared" si="3"/>
        <v>0</v>
      </c>
      <c r="C92" s="278" t="str">
        <f t="shared" si="4"/>
        <v>Antioquia</v>
      </c>
      <c r="D92" s="278" t="str">
        <f t="shared" si="5"/>
        <v>Pueblorrico, Antioquia</v>
      </c>
      <c r="E92" s="279">
        <v>5576</v>
      </c>
      <c r="F92" s="280">
        <v>0.25</v>
      </c>
      <c r="G92" s="280">
        <v>0.25</v>
      </c>
      <c r="H92" s="280" t="s">
        <v>322</v>
      </c>
      <c r="I92" s="280">
        <v>0.17</v>
      </c>
      <c r="J92" s="281">
        <v>0.1</v>
      </c>
    </row>
    <row r="93" spans="1:10" x14ac:dyDescent="0.3">
      <c r="A93" s="277" t="s">
        <v>414</v>
      </c>
      <c r="B93" s="278">
        <f t="shared" si="3"/>
        <v>0</v>
      </c>
      <c r="C93" s="278" t="str">
        <f t="shared" si="4"/>
        <v>Antioquia</v>
      </c>
      <c r="D93" s="278" t="str">
        <f t="shared" si="5"/>
        <v>Puerto Berrío, Antioquia</v>
      </c>
      <c r="E93" s="279">
        <v>5579</v>
      </c>
      <c r="F93" s="280">
        <v>0.15</v>
      </c>
      <c r="G93" s="280">
        <v>0.15</v>
      </c>
      <c r="H93" s="280" t="s">
        <v>40</v>
      </c>
      <c r="I93" s="280">
        <v>0.11</v>
      </c>
      <c r="J93" s="281">
        <v>0.06</v>
      </c>
    </row>
    <row r="94" spans="1:10" x14ac:dyDescent="0.3">
      <c r="A94" s="277" t="s">
        <v>415</v>
      </c>
      <c r="B94" s="278">
        <f t="shared" si="3"/>
        <v>0</v>
      </c>
      <c r="C94" s="278" t="str">
        <f t="shared" si="4"/>
        <v>Antioquia</v>
      </c>
      <c r="D94" s="278" t="str">
        <f t="shared" si="5"/>
        <v>Puerto Nare, Antioquia</v>
      </c>
      <c r="E94" s="279">
        <v>5585</v>
      </c>
      <c r="F94" s="280">
        <v>0.15</v>
      </c>
      <c r="G94" s="280">
        <v>0.2</v>
      </c>
      <c r="H94" s="280" t="s">
        <v>40</v>
      </c>
      <c r="I94" s="280">
        <v>0.11</v>
      </c>
      <c r="J94" s="281">
        <v>0.06</v>
      </c>
    </row>
    <row r="95" spans="1:10" x14ac:dyDescent="0.3">
      <c r="A95" s="277" t="s">
        <v>416</v>
      </c>
      <c r="B95" s="278">
        <f t="shared" si="3"/>
        <v>0</v>
      </c>
      <c r="C95" s="278" t="str">
        <f t="shared" si="4"/>
        <v>Antioquia</v>
      </c>
      <c r="D95" s="278" t="str">
        <f t="shared" si="5"/>
        <v>Puerto Triunfo, Antioquia</v>
      </c>
      <c r="E95" s="279">
        <v>5591</v>
      </c>
      <c r="F95" s="280">
        <v>0.15</v>
      </c>
      <c r="G95" s="280">
        <v>0.2</v>
      </c>
      <c r="H95" s="280" t="s">
        <v>40</v>
      </c>
      <c r="I95" s="280">
        <v>0.09</v>
      </c>
      <c r="J95" s="281">
        <v>0.05</v>
      </c>
    </row>
    <row r="96" spans="1:10" x14ac:dyDescent="0.3">
      <c r="A96" s="277" t="s">
        <v>417</v>
      </c>
      <c r="B96" s="278">
        <f t="shared" si="3"/>
        <v>0</v>
      </c>
      <c r="C96" s="278" t="str">
        <f t="shared" si="4"/>
        <v>Antioquia</v>
      </c>
      <c r="D96" s="278" t="str">
        <f t="shared" si="5"/>
        <v>Remedios, Antioquia</v>
      </c>
      <c r="E96" s="279">
        <v>5604</v>
      </c>
      <c r="F96" s="280">
        <v>0.15</v>
      </c>
      <c r="G96" s="280">
        <v>0.2</v>
      </c>
      <c r="H96" s="280" t="s">
        <v>40</v>
      </c>
      <c r="I96" s="280">
        <v>0.15</v>
      </c>
      <c r="J96" s="281">
        <v>7.0000000000000007E-2</v>
      </c>
    </row>
    <row r="97" spans="1:10" x14ac:dyDescent="0.3">
      <c r="A97" s="277" t="s">
        <v>418</v>
      </c>
      <c r="B97" s="278">
        <f t="shared" si="3"/>
        <v>0</v>
      </c>
      <c r="C97" s="278" t="str">
        <f t="shared" si="4"/>
        <v>Antioquia</v>
      </c>
      <c r="D97" s="278" t="str">
        <f t="shared" si="5"/>
        <v>Retiro, Antioquia</v>
      </c>
      <c r="E97" s="279">
        <v>5607</v>
      </c>
      <c r="F97" s="280">
        <v>0.15</v>
      </c>
      <c r="G97" s="280">
        <v>0.2</v>
      </c>
      <c r="H97" s="280" t="s">
        <v>40</v>
      </c>
      <c r="I97" s="280">
        <v>0.13</v>
      </c>
      <c r="J97" s="281">
        <v>7.0000000000000007E-2</v>
      </c>
    </row>
    <row r="98" spans="1:10" x14ac:dyDescent="0.3">
      <c r="A98" s="277" t="s">
        <v>419</v>
      </c>
      <c r="B98" s="278">
        <f t="shared" si="3"/>
        <v>0</v>
      </c>
      <c r="C98" s="278" t="str">
        <f t="shared" si="4"/>
        <v>Antioquia</v>
      </c>
      <c r="D98" s="278" t="str">
        <f t="shared" si="5"/>
        <v>Rionegro, Antioquia</v>
      </c>
      <c r="E98" s="279">
        <v>5615</v>
      </c>
      <c r="F98" s="280">
        <v>0.15</v>
      </c>
      <c r="G98" s="280">
        <v>0.2</v>
      </c>
      <c r="H98" s="280" t="s">
        <v>40</v>
      </c>
      <c r="I98" s="280">
        <v>0.12</v>
      </c>
      <c r="J98" s="281">
        <v>0.06</v>
      </c>
    </row>
    <row r="99" spans="1:10" x14ac:dyDescent="0.3">
      <c r="A99" s="277" t="s">
        <v>420</v>
      </c>
      <c r="B99" s="278">
        <f t="shared" si="3"/>
        <v>0</v>
      </c>
      <c r="C99" s="278" t="str">
        <f t="shared" si="4"/>
        <v>Antioquia</v>
      </c>
      <c r="D99" s="278" t="str">
        <f t="shared" si="5"/>
        <v>Sabanalarga, Antioquia</v>
      </c>
      <c r="E99" s="279">
        <v>5628</v>
      </c>
      <c r="F99" s="280">
        <v>0.2</v>
      </c>
      <c r="G99" s="280">
        <v>0.2</v>
      </c>
      <c r="H99" s="280" t="s">
        <v>40</v>
      </c>
      <c r="I99" s="280">
        <v>0.13</v>
      </c>
      <c r="J99" s="281">
        <v>7.0000000000000007E-2</v>
      </c>
    </row>
    <row r="100" spans="1:10" x14ac:dyDescent="0.3">
      <c r="A100" s="277" t="s">
        <v>421</v>
      </c>
      <c r="B100" s="278">
        <f t="shared" si="3"/>
        <v>0</v>
      </c>
      <c r="C100" s="278" t="str">
        <f t="shared" si="4"/>
        <v>Antioquia</v>
      </c>
      <c r="D100" s="278" t="str">
        <f t="shared" si="5"/>
        <v>Sabaneta, Antioquia</v>
      </c>
      <c r="E100" s="279">
        <v>5631</v>
      </c>
      <c r="F100" s="280">
        <v>0.15</v>
      </c>
      <c r="G100" s="280">
        <v>0.2</v>
      </c>
      <c r="H100" s="280" t="s">
        <v>40</v>
      </c>
      <c r="I100" s="280">
        <v>0.14000000000000001</v>
      </c>
      <c r="J100" s="281">
        <v>0.08</v>
      </c>
    </row>
    <row r="101" spans="1:10" x14ac:dyDescent="0.3">
      <c r="A101" s="277" t="s">
        <v>422</v>
      </c>
      <c r="B101" s="278">
        <f t="shared" si="3"/>
        <v>0</v>
      </c>
      <c r="C101" s="278" t="str">
        <f t="shared" si="4"/>
        <v>Antioquia</v>
      </c>
      <c r="D101" s="278" t="str">
        <f t="shared" si="5"/>
        <v>Salgar, Antioquia</v>
      </c>
      <c r="E101" s="279">
        <v>5642</v>
      </c>
      <c r="F101" s="280">
        <v>0.25</v>
      </c>
      <c r="G101" s="280">
        <v>0.25</v>
      </c>
      <c r="H101" s="280" t="s">
        <v>322</v>
      </c>
      <c r="I101" s="280">
        <v>0.15</v>
      </c>
      <c r="J101" s="281">
        <v>0.09</v>
      </c>
    </row>
    <row r="102" spans="1:10" x14ac:dyDescent="0.3">
      <c r="A102" s="277" t="s">
        <v>423</v>
      </c>
      <c r="B102" s="278">
        <f t="shared" si="3"/>
        <v>0</v>
      </c>
      <c r="C102" s="278" t="str">
        <f t="shared" si="4"/>
        <v>Antioquia</v>
      </c>
      <c r="D102" s="278" t="str">
        <f t="shared" si="5"/>
        <v>San Andrés, Antioquia</v>
      </c>
      <c r="E102" s="279">
        <v>5647</v>
      </c>
      <c r="F102" s="280">
        <v>0.15</v>
      </c>
      <c r="G102" s="280">
        <v>0.2</v>
      </c>
      <c r="H102" s="280" t="s">
        <v>40</v>
      </c>
      <c r="I102" s="280">
        <v>0.12</v>
      </c>
      <c r="J102" s="281">
        <v>0.06</v>
      </c>
    </row>
    <row r="103" spans="1:10" x14ac:dyDescent="0.3">
      <c r="A103" s="277" t="s">
        <v>424</v>
      </c>
      <c r="B103" s="278">
        <f t="shared" si="3"/>
        <v>0</v>
      </c>
      <c r="C103" s="278" t="str">
        <f t="shared" si="4"/>
        <v>Antioquia</v>
      </c>
      <c r="D103" s="278" t="str">
        <f t="shared" si="5"/>
        <v>San Carlos, Antioquia</v>
      </c>
      <c r="E103" s="279">
        <v>5649</v>
      </c>
      <c r="F103" s="280">
        <v>0.15</v>
      </c>
      <c r="G103" s="280">
        <v>0.2</v>
      </c>
      <c r="H103" s="280" t="s">
        <v>40</v>
      </c>
      <c r="I103" s="280">
        <v>0.1</v>
      </c>
      <c r="J103" s="281">
        <v>0.06</v>
      </c>
    </row>
    <row r="104" spans="1:10" x14ac:dyDescent="0.3">
      <c r="A104" s="277" t="s">
        <v>425</v>
      </c>
      <c r="B104" s="278">
        <f t="shared" si="3"/>
        <v>0</v>
      </c>
      <c r="C104" s="278" t="str">
        <f t="shared" si="4"/>
        <v>Antioquia</v>
      </c>
      <c r="D104" s="278" t="str">
        <f t="shared" si="5"/>
        <v>San Francisco, Antioquia</v>
      </c>
      <c r="E104" s="279">
        <v>5652</v>
      </c>
      <c r="F104" s="280">
        <v>0.15</v>
      </c>
      <c r="G104" s="280">
        <v>0.2</v>
      </c>
      <c r="H104" s="280" t="s">
        <v>40</v>
      </c>
      <c r="I104" s="280">
        <v>0.13</v>
      </c>
      <c r="J104" s="281">
        <v>7.0000000000000007E-2</v>
      </c>
    </row>
    <row r="105" spans="1:10" x14ac:dyDescent="0.3">
      <c r="A105" s="277" t="s">
        <v>426</v>
      </c>
      <c r="B105" s="278">
        <f t="shared" si="3"/>
        <v>0</v>
      </c>
      <c r="C105" s="278" t="str">
        <f t="shared" si="4"/>
        <v>Antioquia</v>
      </c>
      <c r="D105" s="278" t="str">
        <f t="shared" si="5"/>
        <v>San Jerónimo, Antioquia</v>
      </c>
      <c r="E105" s="279">
        <v>5656</v>
      </c>
      <c r="F105" s="280">
        <v>0.15</v>
      </c>
      <c r="G105" s="280">
        <v>0.2</v>
      </c>
      <c r="H105" s="280" t="s">
        <v>40</v>
      </c>
      <c r="I105" s="280">
        <v>0.15</v>
      </c>
      <c r="J105" s="281">
        <v>0.08</v>
      </c>
    </row>
    <row r="106" spans="1:10" x14ac:dyDescent="0.3">
      <c r="A106" s="277" t="s">
        <v>427</v>
      </c>
      <c r="B106" s="278">
        <f t="shared" si="3"/>
        <v>0</v>
      </c>
      <c r="C106" s="278" t="str">
        <f t="shared" si="4"/>
        <v>Antioquia</v>
      </c>
      <c r="D106" s="278" t="str">
        <f t="shared" si="5"/>
        <v>San José De La Montaña, Antioquia</v>
      </c>
      <c r="E106" s="279">
        <v>5658</v>
      </c>
      <c r="F106" s="280">
        <v>0.15</v>
      </c>
      <c r="G106" s="280">
        <v>0.2</v>
      </c>
      <c r="H106" s="280" t="s">
        <v>40</v>
      </c>
      <c r="I106" s="280">
        <v>0.12</v>
      </c>
      <c r="J106" s="281">
        <v>0.06</v>
      </c>
    </row>
    <row r="107" spans="1:10" x14ac:dyDescent="0.3">
      <c r="A107" s="277" t="s">
        <v>428</v>
      </c>
      <c r="B107" s="278">
        <f t="shared" si="3"/>
        <v>0</v>
      </c>
      <c r="C107" s="278" t="str">
        <f t="shared" si="4"/>
        <v>Antioquia</v>
      </c>
      <c r="D107" s="278" t="str">
        <f t="shared" si="5"/>
        <v>San Juan De Urabá, Antioquia</v>
      </c>
      <c r="E107" s="279">
        <v>5659</v>
      </c>
      <c r="F107" s="280">
        <v>0.1</v>
      </c>
      <c r="G107" s="280">
        <v>0.2</v>
      </c>
      <c r="H107" s="280" t="s">
        <v>40</v>
      </c>
      <c r="I107" s="280">
        <v>0.06</v>
      </c>
      <c r="J107" s="281">
        <v>0.03</v>
      </c>
    </row>
    <row r="108" spans="1:10" x14ac:dyDescent="0.3">
      <c r="A108" s="277" t="s">
        <v>429</v>
      </c>
      <c r="B108" s="278">
        <f t="shared" si="3"/>
        <v>0</v>
      </c>
      <c r="C108" s="278" t="str">
        <f t="shared" si="4"/>
        <v>Antioquia</v>
      </c>
      <c r="D108" s="278" t="str">
        <f t="shared" si="5"/>
        <v>San Luis, Antioquia</v>
      </c>
      <c r="E108" s="279">
        <v>5660</v>
      </c>
      <c r="F108" s="280">
        <v>0.15</v>
      </c>
      <c r="G108" s="293">
        <v>0.2</v>
      </c>
      <c r="H108" s="293" t="s">
        <v>40</v>
      </c>
      <c r="I108" s="280">
        <v>0.12</v>
      </c>
      <c r="J108" s="281">
        <v>0.06</v>
      </c>
    </row>
    <row r="109" spans="1:10" x14ac:dyDescent="0.3">
      <c r="A109" s="277" t="s">
        <v>430</v>
      </c>
      <c r="B109" s="278">
        <f t="shared" si="3"/>
        <v>0</v>
      </c>
      <c r="C109" s="278" t="str">
        <f t="shared" si="4"/>
        <v>Antioquia</v>
      </c>
      <c r="D109" s="278" t="str">
        <f t="shared" si="5"/>
        <v>San Pedro, Antioquia</v>
      </c>
      <c r="E109" s="279">
        <v>5664</v>
      </c>
      <c r="F109" s="280">
        <v>0.15</v>
      </c>
      <c r="G109" s="280">
        <v>0.2</v>
      </c>
      <c r="H109" s="280" t="s">
        <v>40</v>
      </c>
      <c r="I109" s="280">
        <v>0.12</v>
      </c>
      <c r="J109" s="281">
        <v>0.06</v>
      </c>
    </row>
    <row r="110" spans="1:10" x14ac:dyDescent="0.3">
      <c r="A110" s="277" t="s">
        <v>431</v>
      </c>
      <c r="B110" s="278">
        <f t="shared" si="3"/>
        <v>0</v>
      </c>
      <c r="C110" s="278" t="str">
        <f t="shared" si="4"/>
        <v>Antioquia</v>
      </c>
      <c r="D110" s="278" t="str">
        <f t="shared" si="5"/>
        <v>San Pedro De Urabá, Antioquia</v>
      </c>
      <c r="E110" s="279">
        <v>5665</v>
      </c>
      <c r="F110" s="280">
        <v>0.15</v>
      </c>
      <c r="G110" s="280">
        <v>0.2</v>
      </c>
      <c r="H110" s="280" t="s">
        <v>40</v>
      </c>
      <c r="I110" s="280">
        <v>0.06</v>
      </c>
      <c r="J110" s="281">
        <v>0.04</v>
      </c>
    </row>
    <row r="111" spans="1:10" x14ac:dyDescent="0.3">
      <c r="A111" s="277" t="s">
        <v>432</v>
      </c>
      <c r="B111" s="278">
        <f t="shared" si="3"/>
        <v>0</v>
      </c>
      <c r="C111" s="278" t="str">
        <f t="shared" si="4"/>
        <v>Antioquia</v>
      </c>
      <c r="D111" s="278" t="str">
        <f t="shared" si="5"/>
        <v>San Rafael, Antioquia</v>
      </c>
      <c r="E111" s="279">
        <v>5667</v>
      </c>
      <c r="F111" s="280">
        <v>0.15</v>
      </c>
      <c r="G111" s="280">
        <v>0.2</v>
      </c>
      <c r="H111" s="280" t="s">
        <v>40</v>
      </c>
      <c r="I111" s="280">
        <v>0.09</v>
      </c>
      <c r="J111" s="281">
        <v>0.05</v>
      </c>
    </row>
    <row r="112" spans="1:10" x14ac:dyDescent="0.3">
      <c r="A112" s="277" t="s">
        <v>433</v>
      </c>
      <c r="B112" s="278">
        <f t="shared" si="3"/>
        <v>0</v>
      </c>
      <c r="C112" s="278" t="str">
        <f t="shared" si="4"/>
        <v>Antioquia</v>
      </c>
      <c r="D112" s="278" t="str">
        <f t="shared" si="5"/>
        <v>San Roque, Antioquia</v>
      </c>
      <c r="E112" s="279">
        <v>5670</v>
      </c>
      <c r="F112" s="280">
        <v>0.15</v>
      </c>
      <c r="G112" s="280">
        <v>0.2</v>
      </c>
      <c r="H112" s="280" t="s">
        <v>40</v>
      </c>
      <c r="I112" s="280">
        <v>0.08</v>
      </c>
      <c r="J112" s="281">
        <v>0.05</v>
      </c>
    </row>
    <row r="113" spans="1:10" x14ac:dyDescent="0.3">
      <c r="A113" s="277" t="s">
        <v>434</v>
      </c>
      <c r="B113" s="278">
        <f t="shared" si="3"/>
        <v>0</v>
      </c>
      <c r="C113" s="278" t="str">
        <f t="shared" si="4"/>
        <v>Antioquia</v>
      </c>
      <c r="D113" s="278" t="str">
        <f t="shared" si="5"/>
        <v>San Vicente, Antioquia</v>
      </c>
      <c r="E113" s="279">
        <v>5674</v>
      </c>
      <c r="F113" s="280">
        <v>0.15</v>
      </c>
      <c r="G113" s="280">
        <v>0.2</v>
      </c>
      <c r="H113" s="280" t="s">
        <v>40</v>
      </c>
      <c r="I113" s="280">
        <v>0.11</v>
      </c>
      <c r="J113" s="281">
        <v>0.06</v>
      </c>
    </row>
    <row r="114" spans="1:10" x14ac:dyDescent="0.3">
      <c r="A114" s="277" t="s">
        <v>435</v>
      </c>
      <c r="B114" s="278">
        <f t="shared" si="3"/>
        <v>0</v>
      </c>
      <c r="C114" s="278" t="str">
        <f t="shared" si="4"/>
        <v>Antioquia</v>
      </c>
      <c r="D114" s="278" t="str">
        <f t="shared" si="5"/>
        <v>Santa Bárbara, Antioquia</v>
      </c>
      <c r="E114" s="279">
        <v>5679</v>
      </c>
      <c r="F114" s="280">
        <v>0.2</v>
      </c>
      <c r="G114" s="280">
        <v>0.25</v>
      </c>
      <c r="H114" s="280" t="s">
        <v>322</v>
      </c>
      <c r="I114" s="280">
        <v>0.16</v>
      </c>
      <c r="J114" s="281">
        <v>0.09</v>
      </c>
    </row>
    <row r="115" spans="1:10" x14ac:dyDescent="0.3">
      <c r="A115" s="277" t="s">
        <v>436</v>
      </c>
      <c r="B115" s="278">
        <f t="shared" si="3"/>
        <v>0</v>
      </c>
      <c r="C115" s="278" t="str">
        <f t="shared" si="4"/>
        <v>Antioquia</v>
      </c>
      <c r="D115" s="278" t="str">
        <f t="shared" si="5"/>
        <v>Santa Rosa De Osos, Antioquia</v>
      </c>
      <c r="E115" s="279">
        <v>5686</v>
      </c>
      <c r="F115" s="280">
        <v>0.15</v>
      </c>
      <c r="G115" s="280">
        <v>0.2</v>
      </c>
      <c r="H115" s="280" t="s">
        <v>40</v>
      </c>
      <c r="I115" s="280">
        <v>0.1</v>
      </c>
      <c r="J115" s="281">
        <v>0.05</v>
      </c>
    </row>
    <row r="116" spans="1:10" x14ac:dyDescent="0.3">
      <c r="A116" s="277" t="s">
        <v>437</v>
      </c>
      <c r="B116" s="278">
        <f t="shared" si="3"/>
        <v>0</v>
      </c>
      <c r="C116" s="278" t="str">
        <f t="shared" si="4"/>
        <v>Antioquia</v>
      </c>
      <c r="D116" s="278" t="str">
        <f t="shared" si="5"/>
        <v>Santafé De Antioquia, Antioquia</v>
      </c>
      <c r="E116" s="279">
        <v>5042</v>
      </c>
      <c r="F116" s="280">
        <v>0.2</v>
      </c>
      <c r="G116" s="293">
        <v>0.25</v>
      </c>
      <c r="H116" s="293" t="s">
        <v>322</v>
      </c>
      <c r="I116" s="280">
        <v>0.13</v>
      </c>
      <c r="J116" s="281">
        <v>7.0000000000000007E-2</v>
      </c>
    </row>
    <row r="117" spans="1:10" x14ac:dyDescent="0.3">
      <c r="A117" s="277" t="s">
        <v>438</v>
      </c>
      <c r="B117" s="278">
        <f t="shared" si="3"/>
        <v>0</v>
      </c>
      <c r="C117" s="278" t="str">
        <f t="shared" si="4"/>
        <v>Antioquia</v>
      </c>
      <c r="D117" s="278" t="str">
        <f t="shared" si="5"/>
        <v>Santo Domingo, Antioquia</v>
      </c>
      <c r="E117" s="279">
        <v>5690</v>
      </c>
      <c r="F117" s="280">
        <v>0.15</v>
      </c>
      <c r="G117" s="280">
        <v>0.2</v>
      </c>
      <c r="H117" s="280" t="s">
        <v>40</v>
      </c>
      <c r="I117" s="280">
        <v>0.09</v>
      </c>
      <c r="J117" s="281">
        <v>0.05</v>
      </c>
    </row>
    <row r="118" spans="1:10" x14ac:dyDescent="0.3">
      <c r="A118" s="277" t="s">
        <v>439</v>
      </c>
      <c r="B118" s="278">
        <f t="shared" si="3"/>
        <v>0</v>
      </c>
      <c r="C118" s="278" t="str">
        <f t="shared" si="4"/>
        <v>Antioquia</v>
      </c>
      <c r="D118" s="278" t="str">
        <f t="shared" si="5"/>
        <v>Santuario, Antioquia</v>
      </c>
      <c r="E118" s="279">
        <v>5697</v>
      </c>
      <c r="F118" s="280">
        <v>0.15</v>
      </c>
      <c r="G118" s="280">
        <v>0.2</v>
      </c>
      <c r="H118" s="280" t="s">
        <v>40</v>
      </c>
      <c r="I118" s="280">
        <v>0.11</v>
      </c>
      <c r="J118" s="281">
        <v>0.06</v>
      </c>
    </row>
    <row r="119" spans="1:10" x14ac:dyDescent="0.3">
      <c r="A119" s="277" t="s">
        <v>440</v>
      </c>
      <c r="B119" s="278">
        <f t="shared" si="3"/>
        <v>0</v>
      </c>
      <c r="C119" s="278" t="str">
        <f t="shared" si="4"/>
        <v>Antioquia</v>
      </c>
      <c r="D119" s="278" t="str">
        <f t="shared" si="5"/>
        <v>Segovia, Antioquia</v>
      </c>
      <c r="E119" s="279">
        <v>5736</v>
      </c>
      <c r="F119" s="280">
        <v>0.15</v>
      </c>
      <c r="G119" s="280">
        <v>0.2</v>
      </c>
      <c r="H119" s="280" t="s">
        <v>40</v>
      </c>
      <c r="I119" s="280">
        <v>0.1</v>
      </c>
      <c r="J119" s="281">
        <v>0.05</v>
      </c>
    </row>
    <row r="120" spans="1:10" x14ac:dyDescent="0.3">
      <c r="A120" s="277" t="s">
        <v>441</v>
      </c>
      <c r="B120" s="278">
        <f t="shared" si="3"/>
        <v>0</v>
      </c>
      <c r="C120" s="278" t="str">
        <f t="shared" si="4"/>
        <v>Antioquia</v>
      </c>
      <c r="D120" s="278" t="str">
        <f t="shared" si="5"/>
        <v>Sonsón, Antioquia</v>
      </c>
      <c r="E120" s="279">
        <v>5756</v>
      </c>
      <c r="F120" s="280">
        <v>0.15</v>
      </c>
      <c r="G120" s="280">
        <v>0.2</v>
      </c>
      <c r="H120" s="280" t="s">
        <v>40</v>
      </c>
      <c r="I120" s="280">
        <v>0.12</v>
      </c>
      <c r="J120" s="281">
        <v>7.0000000000000007E-2</v>
      </c>
    </row>
    <row r="121" spans="1:10" x14ac:dyDescent="0.3">
      <c r="A121" s="277" t="s">
        <v>442</v>
      </c>
      <c r="B121" s="278">
        <f t="shared" si="3"/>
        <v>0</v>
      </c>
      <c r="C121" s="278" t="str">
        <f t="shared" si="4"/>
        <v>Antioquia</v>
      </c>
      <c r="D121" s="278" t="str">
        <f t="shared" si="5"/>
        <v>Sopetrán, Antioquia</v>
      </c>
      <c r="E121" s="279">
        <v>5761</v>
      </c>
      <c r="F121" s="280">
        <v>0.15</v>
      </c>
      <c r="G121" s="280">
        <v>0.2</v>
      </c>
      <c r="H121" s="280" t="s">
        <v>40</v>
      </c>
      <c r="I121" s="280">
        <v>0.15</v>
      </c>
      <c r="J121" s="281">
        <v>0.08</v>
      </c>
    </row>
    <row r="122" spans="1:10" x14ac:dyDescent="0.3">
      <c r="A122" s="277" t="s">
        <v>443</v>
      </c>
      <c r="B122" s="278">
        <f t="shared" si="3"/>
        <v>0</v>
      </c>
      <c r="C122" s="278" t="str">
        <f t="shared" si="4"/>
        <v>Antioquia</v>
      </c>
      <c r="D122" s="278" t="str">
        <f t="shared" si="5"/>
        <v>Támesis, Antioquia</v>
      </c>
      <c r="E122" s="279">
        <v>5789</v>
      </c>
      <c r="F122" s="280">
        <v>0.25</v>
      </c>
      <c r="G122" s="280">
        <v>0.25</v>
      </c>
      <c r="H122" s="280" t="s">
        <v>322</v>
      </c>
      <c r="I122" s="280">
        <v>0.16</v>
      </c>
      <c r="J122" s="281">
        <v>0.09</v>
      </c>
    </row>
    <row r="123" spans="1:10" x14ac:dyDescent="0.3">
      <c r="A123" s="277" t="s">
        <v>444</v>
      </c>
      <c r="B123" s="278">
        <f t="shared" si="3"/>
        <v>0</v>
      </c>
      <c r="C123" s="278" t="str">
        <f t="shared" si="4"/>
        <v>Antioquia</v>
      </c>
      <c r="D123" s="278" t="str">
        <f t="shared" si="5"/>
        <v>Tarazá, Antioquia</v>
      </c>
      <c r="E123" s="279">
        <v>5790</v>
      </c>
      <c r="F123" s="280">
        <v>0.15</v>
      </c>
      <c r="G123" s="280">
        <v>0.2</v>
      </c>
      <c r="H123" s="280" t="s">
        <v>40</v>
      </c>
      <c r="I123" s="280">
        <v>0.08</v>
      </c>
      <c r="J123" s="281">
        <v>0.04</v>
      </c>
    </row>
    <row r="124" spans="1:10" x14ac:dyDescent="0.3">
      <c r="A124" s="277" t="s">
        <v>445</v>
      </c>
      <c r="B124" s="278">
        <f t="shared" si="3"/>
        <v>0</v>
      </c>
      <c r="C124" s="278" t="str">
        <f t="shared" si="4"/>
        <v>Antioquia</v>
      </c>
      <c r="D124" s="278" t="str">
        <f t="shared" si="5"/>
        <v>Tarso, Antioquia</v>
      </c>
      <c r="E124" s="279">
        <v>5792</v>
      </c>
      <c r="F124" s="280">
        <v>0.25</v>
      </c>
      <c r="G124" s="280">
        <v>0.25</v>
      </c>
      <c r="H124" s="280" t="s">
        <v>322</v>
      </c>
      <c r="I124" s="280">
        <v>0.16</v>
      </c>
      <c r="J124" s="281">
        <v>0.09</v>
      </c>
    </row>
    <row r="125" spans="1:10" x14ac:dyDescent="0.3">
      <c r="A125" s="277" t="s">
        <v>446</v>
      </c>
      <c r="B125" s="278">
        <f t="shared" si="3"/>
        <v>0</v>
      </c>
      <c r="C125" s="278" t="str">
        <f t="shared" si="4"/>
        <v>Antioquia</v>
      </c>
      <c r="D125" s="278" t="str">
        <f t="shared" si="5"/>
        <v>Titiribí, Antioquia</v>
      </c>
      <c r="E125" s="279">
        <v>5809</v>
      </c>
      <c r="F125" s="280">
        <v>0.2</v>
      </c>
      <c r="G125" s="293">
        <v>0.25</v>
      </c>
      <c r="H125" s="293" t="s">
        <v>322</v>
      </c>
      <c r="I125" s="280">
        <v>0.15</v>
      </c>
      <c r="J125" s="281">
        <v>0.08</v>
      </c>
    </row>
    <row r="126" spans="1:10" x14ac:dyDescent="0.3">
      <c r="A126" s="277" t="s">
        <v>447</v>
      </c>
      <c r="B126" s="278">
        <f t="shared" si="3"/>
        <v>0</v>
      </c>
      <c r="C126" s="278" t="str">
        <f t="shared" si="4"/>
        <v>Antioquia</v>
      </c>
      <c r="D126" s="278" t="str">
        <f t="shared" si="5"/>
        <v>Toledo, Antioquia</v>
      </c>
      <c r="E126" s="279">
        <v>5819</v>
      </c>
      <c r="F126" s="280">
        <v>0.15</v>
      </c>
      <c r="G126" s="280">
        <v>0.2</v>
      </c>
      <c r="H126" s="280" t="s">
        <v>40</v>
      </c>
      <c r="I126" s="280">
        <v>0.13</v>
      </c>
      <c r="J126" s="281">
        <v>7.0000000000000007E-2</v>
      </c>
    </row>
    <row r="127" spans="1:10" x14ac:dyDescent="0.3">
      <c r="A127" s="277" t="s">
        <v>448</v>
      </c>
      <c r="B127" s="278">
        <f t="shared" si="3"/>
        <v>0</v>
      </c>
      <c r="C127" s="278" t="str">
        <f t="shared" si="4"/>
        <v>Antioquia</v>
      </c>
      <c r="D127" s="278" t="str">
        <f t="shared" si="5"/>
        <v>Turbo, Antioquia</v>
      </c>
      <c r="E127" s="279">
        <v>5837</v>
      </c>
      <c r="F127" s="280">
        <v>0.25</v>
      </c>
      <c r="G127" s="280">
        <v>0.25</v>
      </c>
      <c r="H127" s="280" t="s">
        <v>322</v>
      </c>
      <c r="I127" s="280">
        <v>0.13</v>
      </c>
      <c r="J127" s="281">
        <v>7.0000000000000007E-2</v>
      </c>
    </row>
    <row r="128" spans="1:10" x14ac:dyDescent="0.3">
      <c r="A128" s="277" t="s">
        <v>449</v>
      </c>
      <c r="B128" s="278">
        <f t="shared" si="3"/>
        <v>0</v>
      </c>
      <c r="C128" s="278" t="str">
        <f t="shared" si="4"/>
        <v>Antioquia</v>
      </c>
      <c r="D128" s="278" t="str">
        <f t="shared" si="5"/>
        <v>Uramita, Antioquia</v>
      </c>
      <c r="E128" s="279">
        <v>5842</v>
      </c>
      <c r="F128" s="280">
        <v>0.25</v>
      </c>
      <c r="G128" s="280">
        <v>0.25</v>
      </c>
      <c r="H128" s="280" t="s">
        <v>322</v>
      </c>
      <c r="I128" s="280">
        <v>0.12</v>
      </c>
      <c r="J128" s="281">
        <v>7.0000000000000007E-2</v>
      </c>
    </row>
    <row r="129" spans="1:10" x14ac:dyDescent="0.3">
      <c r="A129" s="277" t="s">
        <v>450</v>
      </c>
      <c r="B129" s="278">
        <f t="shared" si="3"/>
        <v>0</v>
      </c>
      <c r="C129" s="278" t="str">
        <f t="shared" si="4"/>
        <v>Antioquia</v>
      </c>
      <c r="D129" s="278" t="str">
        <f t="shared" si="5"/>
        <v>Urrao, Antioquia</v>
      </c>
      <c r="E129" s="279">
        <v>5847</v>
      </c>
      <c r="F129" s="280">
        <v>0.3</v>
      </c>
      <c r="G129" s="280">
        <v>0.3</v>
      </c>
      <c r="H129" s="280" t="s">
        <v>322</v>
      </c>
      <c r="I129" s="280">
        <v>0.17</v>
      </c>
      <c r="J129" s="281">
        <v>0.1</v>
      </c>
    </row>
    <row r="130" spans="1:10" x14ac:dyDescent="0.3">
      <c r="A130" s="277" t="s">
        <v>451</v>
      </c>
      <c r="B130" s="278">
        <f t="shared" si="3"/>
        <v>0</v>
      </c>
      <c r="C130" s="278" t="str">
        <f t="shared" si="4"/>
        <v>Antioquia</v>
      </c>
      <c r="D130" s="278" t="str">
        <f t="shared" si="5"/>
        <v>Valdivia, Antioquia</v>
      </c>
      <c r="E130" s="279">
        <v>5854</v>
      </c>
      <c r="F130" s="280">
        <v>0.15</v>
      </c>
      <c r="G130" s="280">
        <v>0.2</v>
      </c>
      <c r="H130" s="280" t="s">
        <v>40</v>
      </c>
      <c r="I130" s="280">
        <v>0.11</v>
      </c>
      <c r="J130" s="281">
        <v>0.05</v>
      </c>
    </row>
    <row r="131" spans="1:10" x14ac:dyDescent="0.3">
      <c r="A131" s="277" t="s">
        <v>452</v>
      </c>
      <c r="B131" s="278">
        <f t="shared" ref="B131:B194" si="6">IFERROR(FIND("Departamento",A131),0)</f>
        <v>0</v>
      </c>
      <c r="C131" s="278" t="str">
        <f t="shared" ref="C131:C194" si="7">IF(B131=1,IF(ISERROR(FIND("del",A131)),MID(A131,17,30),MID(A131,18,30)),C130)</f>
        <v>Antioquia</v>
      </c>
      <c r="D131" s="278" t="str">
        <f t="shared" ref="D131:D194" si="8">IF(B131=1,"",CONCATENATE(A131,", ",C131))</f>
        <v>Valparaíso, Antioquia</v>
      </c>
      <c r="E131" s="279">
        <v>5856</v>
      </c>
      <c r="F131" s="280">
        <v>0.25</v>
      </c>
      <c r="G131" s="280">
        <v>0.25</v>
      </c>
      <c r="H131" s="280" t="s">
        <v>322</v>
      </c>
      <c r="I131" s="280">
        <v>0.15</v>
      </c>
      <c r="J131" s="281">
        <v>0.09</v>
      </c>
    </row>
    <row r="132" spans="1:10" x14ac:dyDescent="0.3">
      <c r="A132" s="277" t="s">
        <v>453</v>
      </c>
      <c r="B132" s="278">
        <f t="shared" si="6"/>
        <v>0</v>
      </c>
      <c r="C132" s="278" t="str">
        <f t="shared" si="7"/>
        <v>Antioquia</v>
      </c>
      <c r="D132" s="278" t="str">
        <f t="shared" si="8"/>
        <v>Vegachí, Antioquia</v>
      </c>
      <c r="E132" s="279">
        <v>5858</v>
      </c>
      <c r="F132" s="280">
        <v>0.15</v>
      </c>
      <c r="G132" s="280">
        <v>0.2</v>
      </c>
      <c r="H132" s="280" t="s">
        <v>40</v>
      </c>
      <c r="I132" s="280">
        <v>0.08</v>
      </c>
      <c r="J132" s="281">
        <v>0.05</v>
      </c>
    </row>
    <row r="133" spans="1:10" x14ac:dyDescent="0.3">
      <c r="A133" s="277" t="s">
        <v>454</v>
      </c>
      <c r="B133" s="278">
        <f t="shared" si="6"/>
        <v>0</v>
      </c>
      <c r="C133" s="278" t="str">
        <f t="shared" si="7"/>
        <v>Antioquia</v>
      </c>
      <c r="D133" s="278" t="str">
        <f t="shared" si="8"/>
        <v>Venecia, Antioquia</v>
      </c>
      <c r="E133" s="279">
        <v>5861</v>
      </c>
      <c r="F133" s="280">
        <v>0.2</v>
      </c>
      <c r="G133" s="280">
        <v>0.25</v>
      </c>
      <c r="H133" s="280" t="s">
        <v>322</v>
      </c>
      <c r="I133" s="280">
        <v>0.15</v>
      </c>
      <c r="J133" s="281">
        <v>0.08</v>
      </c>
    </row>
    <row r="134" spans="1:10" x14ac:dyDescent="0.3">
      <c r="A134" s="277" t="s">
        <v>455</v>
      </c>
      <c r="B134" s="278">
        <f t="shared" si="6"/>
        <v>0</v>
      </c>
      <c r="C134" s="278" t="str">
        <f t="shared" si="7"/>
        <v>Antioquia</v>
      </c>
      <c r="D134" s="278" t="str">
        <f t="shared" si="8"/>
        <v>Vigía del Fuerte, Antioquia</v>
      </c>
      <c r="E134" s="279">
        <v>5873</v>
      </c>
      <c r="F134" s="280">
        <v>0.35</v>
      </c>
      <c r="G134" s="280">
        <v>0.35</v>
      </c>
      <c r="H134" s="280" t="s">
        <v>322</v>
      </c>
      <c r="I134" s="280">
        <v>0.22</v>
      </c>
      <c r="J134" s="281">
        <v>0.12</v>
      </c>
    </row>
    <row r="135" spans="1:10" x14ac:dyDescent="0.3">
      <c r="A135" s="277" t="s">
        <v>456</v>
      </c>
      <c r="B135" s="278">
        <f t="shared" si="6"/>
        <v>0</v>
      </c>
      <c r="C135" s="278" t="str">
        <f t="shared" si="7"/>
        <v>Antioquia</v>
      </c>
      <c r="D135" s="278" t="str">
        <f t="shared" si="8"/>
        <v>Yalí, Antioquia</v>
      </c>
      <c r="E135" s="279">
        <v>5885</v>
      </c>
      <c r="F135" s="280">
        <v>0.15</v>
      </c>
      <c r="G135" s="280">
        <v>0.2</v>
      </c>
      <c r="H135" s="280" t="s">
        <v>40</v>
      </c>
      <c r="I135" s="280">
        <v>0.09</v>
      </c>
      <c r="J135" s="281">
        <v>0.05</v>
      </c>
    </row>
    <row r="136" spans="1:10" x14ac:dyDescent="0.3">
      <c r="A136" s="277" t="s">
        <v>457</v>
      </c>
      <c r="B136" s="278">
        <f t="shared" si="6"/>
        <v>0</v>
      </c>
      <c r="C136" s="278" t="str">
        <f t="shared" si="7"/>
        <v>Antioquia</v>
      </c>
      <c r="D136" s="278" t="str">
        <f t="shared" si="8"/>
        <v>Yarumal, Antioquia</v>
      </c>
      <c r="E136" s="279">
        <v>5887</v>
      </c>
      <c r="F136" s="280">
        <v>0.15</v>
      </c>
      <c r="G136" s="280">
        <v>0.2</v>
      </c>
      <c r="H136" s="280" t="s">
        <v>40</v>
      </c>
      <c r="I136" s="280">
        <v>0.09</v>
      </c>
      <c r="J136" s="281">
        <v>0.05</v>
      </c>
    </row>
    <row r="137" spans="1:10" x14ac:dyDescent="0.3">
      <c r="A137" s="277" t="s">
        <v>458</v>
      </c>
      <c r="B137" s="278">
        <f t="shared" si="6"/>
        <v>0</v>
      </c>
      <c r="C137" s="278" t="str">
        <f t="shared" si="7"/>
        <v>Antioquia</v>
      </c>
      <c r="D137" s="278" t="str">
        <f t="shared" si="8"/>
        <v>Yolombó, Antioquia</v>
      </c>
      <c r="E137" s="279">
        <v>5890</v>
      </c>
      <c r="F137" s="280">
        <v>0.15</v>
      </c>
      <c r="G137" s="280">
        <v>0.2</v>
      </c>
      <c r="H137" s="280" t="s">
        <v>40</v>
      </c>
      <c r="I137" s="280">
        <v>0.08</v>
      </c>
      <c r="J137" s="281">
        <v>0.04</v>
      </c>
    </row>
    <row r="138" spans="1:10" x14ac:dyDescent="0.3">
      <c r="A138" s="277" t="s">
        <v>459</v>
      </c>
      <c r="B138" s="278">
        <f t="shared" si="6"/>
        <v>0</v>
      </c>
      <c r="C138" s="278" t="str">
        <f t="shared" si="7"/>
        <v>Antioquia</v>
      </c>
      <c r="D138" s="278" t="str">
        <f t="shared" si="8"/>
        <v>Yondó, Antioquia</v>
      </c>
      <c r="E138" s="279">
        <v>5893</v>
      </c>
      <c r="F138" s="280">
        <v>0.15</v>
      </c>
      <c r="G138" s="280">
        <v>0.15</v>
      </c>
      <c r="H138" s="280" t="s">
        <v>40</v>
      </c>
      <c r="I138" s="280">
        <v>0.06</v>
      </c>
      <c r="J138" s="281">
        <v>0.04</v>
      </c>
    </row>
    <row r="139" spans="1:10" ht="17.25" thickBot="1" x14ac:dyDescent="0.35">
      <c r="A139" s="294" t="s">
        <v>460</v>
      </c>
      <c r="B139" s="295">
        <f t="shared" si="6"/>
        <v>0</v>
      </c>
      <c r="C139" s="295" t="str">
        <f t="shared" si="7"/>
        <v>Antioquia</v>
      </c>
      <c r="D139" s="295" t="str">
        <f t="shared" si="8"/>
        <v>Zaragoza, Antioquia</v>
      </c>
      <c r="E139" s="296">
        <v>5895</v>
      </c>
      <c r="F139" s="297">
        <v>0.15</v>
      </c>
      <c r="G139" s="297">
        <v>0.2</v>
      </c>
      <c r="H139" s="297" t="s">
        <v>40</v>
      </c>
      <c r="I139" s="297">
        <v>0.05</v>
      </c>
      <c r="J139" s="298">
        <v>0.03</v>
      </c>
    </row>
    <row r="140" spans="1:10" ht="17.25" thickBot="1" x14ac:dyDescent="0.35">
      <c r="A140" s="299" t="s">
        <v>461</v>
      </c>
      <c r="B140" s="300">
        <f t="shared" si="6"/>
        <v>1</v>
      </c>
      <c r="C140" s="300" t="str">
        <f t="shared" si="7"/>
        <v>Arauca</v>
      </c>
      <c r="D140" s="300" t="str">
        <f t="shared" si="8"/>
        <v/>
      </c>
      <c r="E140" s="301"/>
      <c r="F140" s="302"/>
      <c r="G140" s="302"/>
      <c r="H140" s="302"/>
      <c r="I140" s="302"/>
      <c r="J140" s="303"/>
    </row>
    <row r="141" spans="1:10" x14ac:dyDescent="0.3">
      <c r="A141" s="304" t="s">
        <v>342</v>
      </c>
      <c r="B141" s="305">
        <f t="shared" si="6"/>
        <v>0</v>
      </c>
      <c r="C141" s="305" t="str">
        <f t="shared" si="7"/>
        <v>Arauca</v>
      </c>
      <c r="D141" s="305" t="str">
        <f t="shared" si="8"/>
        <v>Arauca, Arauca</v>
      </c>
      <c r="E141" s="306">
        <v>81001</v>
      </c>
      <c r="F141" s="307">
        <v>0.15</v>
      </c>
      <c r="G141" s="307">
        <v>0.15</v>
      </c>
      <c r="H141" s="307" t="s">
        <v>40</v>
      </c>
      <c r="I141" s="307">
        <v>0.1</v>
      </c>
      <c r="J141" s="308">
        <v>0.04</v>
      </c>
    </row>
    <row r="142" spans="1:10" x14ac:dyDescent="0.3">
      <c r="A142" s="277" t="s">
        <v>462</v>
      </c>
      <c r="B142" s="278">
        <f t="shared" si="6"/>
        <v>0</v>
      </c>
      <c r="C142" s="278" t="str">
        <f t="shared" si="7"/>
        <v>Arauca</v>
      </c>
      <c r="D142" s="278" t="str">
        <f t="shared" si="8"/>
        <v>Arauquita, Arauca</v>
      </c>
      <c r="E142" s="279">
        <v>81065</v>
      </c>
      <c r="F142" s="280">
        <v>0.2</v>
      </c>
      <c r="G142" s="280">
        <v>0.15</v>
      </c>
      <c r="H142" s="280" t="s">
        <v>40</v>
      </c>
      <c r="I142" s="280">
        <v>7.0000000000000007E-2</v>
      </c>
      <c r="J142" s="281">
        <v>0.03</v>
      </c>
    </row>
    <row r="143" spans="1:10" x14ac:dyDescent="0.3">
      <c r="A143" s="277" t="s">
        <v>463</v>
      </c>
      <c r="B143" s="278">
        <f t="shared" si="6"/>
        <v>0</v>
      </c>
      <c r="C143" s="278" t="str">
        <f t="shared" si="7"/>
        <v>Arauca</v>
      </c>
      <c r="D143" s="278" t="str">
        <f t="shared" si="8"/>
        <v>Cravo Norte, Arauca</v>
      </c>
      <c r="E143" s="279">
        <v>81220</v>
      </c>
      <c r="F143" s="280">
        <v>0.05</v>
      </c>
      <c r="G143" s="280">
        <v>0.05</v>
      </c>
      <c r="H143" s="280" t="s">
        <v>295</v>
      </c>
      <c r="I143" s="280">
        <v>0.03</v>
      </c>
      <c r="J143" s="281">
        <v>0.02</v>
      </c>
    </row>
    <row r="144" spans="1:10" x14ac:dyDescent="0.3">
      <c r="A144" s="277" t="s">
        <v>464</v>
      </c>
      <c r="B144" s="278">
        <f t="shared" si="6"/>
        <v>0</v>
      </c>
      <c r="C144" s="278" t="str">
        <f t="shared" si="7"/>
        <v>Arauca</v>
      </c>
      <c r="D144" s="278" t="str">
        <f t="shared" si="8"/>
        <v>Fortul, Arauca</v>
      </c>
      <c r="E144" s="279">
        <v>81300</v>
      </c>
      <c r="F144" s="280">
        <v>0.3</v>
      </c>
      <c r="G144" s="280">
        <v>0.2</v>
      </c>
      <c r="H144" s="280" t="s">
        <v>322</v>
      </c>
      <c r="I144" s="280">
        <v>0.32</v>
      </c>
      <c r="J144" s="281">
        <v>0.12</v>
      </c>
    </row>
    <row r="145" spans="1:10" x14ac:dyDescent="0.3">
      <c r="A145" s="277" t="s">
        <v>465</v>
      </c>
      <c r="B145" s="278">
        <f t="shared" si="6"/>
        <v>0</v>
      </c>
      <c r="C145" s="278" t="str">
        <f t="shared" si="7"/>
        <v>Arauca</v>
      </c>
      <c r="D145" s="278" t="str">
        <f t="shared" si="8"/>
        <v>Puerto Rondón, Arauca</v>
      </c>
      <c r="E145" s="279">
        <v>81591</v>
      </c>
      <c r="F145" s="280">
        <v>0.15</v>
      </c>
      <c r="G145" s="280">
        <v>0.15</v>
      </c>
      <c r="H145" s="280" t="s">
        <v>40</v>
      </c>
      <c r="I145" s="280">
        <v>0.14000000000000001</v>
      </c>
      <c r="J145" s="281">
        <v>0.05</v>
      </c>
    </row>
    <row r="146" spans="1:10" x14ac:dyDescent="0.3">
      <c r="A146" s="277" t="s">
        <v>466</v>
      </c>
      <c r="B146" s="278">
        <f t="shared" si="6"/>
        <v>0</v>
      </c>
      <c r="C146" s="278" t="str">
        <f t="shared" si="7"/>
        <v>Arauca</v>
      </c>
      <c r="D146" s="278" t="str">
        <f t="shared" si="8"/>
        <v>Saravena, Arauca</v>
      </c>
      <c r="E146" s="279">
        <v>81736</v>
      </c>
      <c r="F146" s="280">
        <v>0.3</v>
      </c>
      <c r="G146" s="280">
        <v>0.25</v>
      </c>
      <c r="H146" s="280" t="s">
        <v>322</v>
      </c>
      <c r="I146" s="280">
        <v>0.21</v>
      </c>
      <c r="J146" s="281">
        <v>0.08</v>
      </c>
    </row>
    <row r="147" spans="1:10" ht="17.25" thickBot="1" x14ac:dyDescent="0.35">
      <c r="A147" s="294" t="s">
        <v>467</v>
      </c>
      <c r="B147" s="295">
        <f t="shared" si="6"/>
        <v>0</v>
      </c>
      <c r="C147" s="295" t="str">
        <f t="shared" si="7"/>
        <v>Arauca</v>
      </c>
      <c r="D147" s="295" t="str">
        <f t="shared" si="8"/>
        <v>Tame, Arauca</v>
      </c>
      <c r="E147" s="296">
        <v>81794</v>
      </c>
      <c r="F147" s="297">
        <v>0.25</v>
      </c>
      <c r="G147" s="297">
        <v>0.2</v>
      </c>
      <c r="H147" s="297" t="s">
        <v>322</v>
      </c>
      <c r="I147" s="297">
        <v>0.31</v>
      </c>
      <c r="J147" s="298">
        <v>0.1</v>
      </c>
    </row>
    <row r="148" spans="1:10" ht="17.25" thickBot="1" x14ac:dyDescent="0.35">
      <c r="A148" s="299" t="s">
        <v>468</v>
      </c>
      <c r="B148" s="300">
        <v>1</v>
      </c>
      <c r="C148" s="300" t="str">
        <f t="shared" si="7"/>
        <v>San Andrés</v>
      </c>
      <c r="D148" s="300" t="str">
        <f t="shared" si="8"/>
        <v/>
      </c>
      <c r="E148" s="301"/>
      <c r="F148" s="302"/>
      <c r="G148" s="302"/>
      <c r="H148" s="302"/>
      <c r="I148" s="302"/>
      <c r="J148" s="303"/>
    </row>
    <row r="149" spans="1:10" x14ac:dyDescent="0.3">
      <c r="A149" s="304" t="s">
        <v>423</v>
      </c>
      <c r="B149" s="305">
        <f t="shared" si="6"/>
        <v>0</v>
      </c>
      <c r="C149" s="305" t="str">
        <f t="shared" si="7"/>
        <v>San Andrés</v>
      </c>
      <c r="D149" s="305" t="str">
        <f t="shared" si="8"/>
        <v>San Andrés, San Andrés</v>
      </c>
      <c r="E149" s="306">
        <v>88001</v>
      </c>
      <c r="F149" s="307">
        <v>0.1</v>
      </c>
      <c r="G149" s="307">
        <v>0.1</v>
      </c>
      <c r="H149" s="307" t="s">
        <v>295</v>
      </c>
      <c r="I149" s="307">
        <v>0.05</v>
      </c>
      <c r="J149" s="308">
        <v>0.03</v>
      </c>
    </row>
    <row r="150" spans="1:10" ht="17.25" thickBot="1" x14ac:dyDescent="0.35">
      <c r="A150" s="294" t="s">
        <v>469</v>
      </c>
      <c r="B150" s="295">
        <f t="shared" si="6"/>
        <v>0</v>
      </c>
      <c r="C150" s="295" t="str">
        <f t="shared" si="7"/>
        <v>San Andrés</v>
      </c>
      <c r="D150" s="295" t="str">
        <f t="shared" si="8"/>
        <v>Providencia y Santa Catalina, San Andrés</v>
      </c>
      <c r="E150" s="296">
        <v>88564</v>
      </c>
      <c r="F150" s="297">
        <v>0.1</v>
      </c>
      <c r="G150" s="297">
        <v>0.1</v>
      </c>
      <c r="H150" s="297" t="s">
        <v>295</v>
      </c>
      <c r="I150" s="297">
        <v>0.05</v>
      </c>
      <c r="J150" s="298">
        <v>0.03</v>
      </c>
    </row>
    <row r="151" spans="1:10" ht="17.25" thickBot="1" x14ac:dyDescent="0.35">
      <c r="A151" s="299" t="s">
        <v>470</v>
      </c>
      <c r="B151" s="300">
        <f t="shared" si="6"/>
        <v>1</v>
      </c>
      <c r="C151" s="300" t="str">
        <f t="shared" si="7"/>
        <v>Atlántico</v>
      </c>
      <c r="D151" s="300" t="str">
        <f t="shared" si="8"/>
        <v/>
      </c>
      <c r="E151" s="301"/>
      <c r="F151" s="302"/>
      <c r="G151" s="302"/>
      <c r="H151" s="302"/>
      <c r="I151" s="302"/>
      <c r="J151" s="303"/>
    </row>
    <row r="152" spans="1:10" x14ac:dyDescent="0.3">
      <c r="A152" s="304" t="s">
        <v>471</v>
      </c>
      <c r="B152" s="305">
        <f t="shared" si="6"/>
        <v>0</v>
      </c>
      <c r="C152" s="305" t="str">
        <f t="shared" si="7"/>
        <v>Atlántico</v>
      </c>
      <c r="D152" s="305" t="str">
        <f t="shared" si="8"/>
        <v>Barranquilla, Atlántico</v>
      </c>
      <c r="E152" s="306">
        <v>8001</v>
      </c>
      <c r="F152" s="307">
        <v>0.1</v>
      </c>
      <c r="G152" s="307">
        <v>0.1</v>
      </c>
      <c r="H152" s="307" t="s">
        <v>295</v>
      </c>
      <c r="I152" s="307">
        <v>0.05</v>
      </c>
      <c r="J152" s="308">
        <v>0.03</v>
      </c>
    </row>
    <row r="153" spans="1:10" x14ac:dyDescent="0.3">
      <c r="A153" s="277" t="s">
        <v>472</v>
      </c>
      <c r="B153" s="278">
        <f t="shared" si="6"/>
        <v>0</v>
      </c>
      <c r="C153" s="278" t="str">
        <f t="shared" si="7"/>
        <v>Atlántico</v>
      </c>
      <c r="D153" s="278" t="str">
        <f t="shared" si="8"/>
        <v>Baranoa, Atlántico</v>
      </c>
      <c r="E153" s="279">
        <v>8078</v>
      </c>
      <c r="F153" s="280">
        <v>0.1</v>
      </c>
      <c r="G153" s="280">
        <v>0.1</v>
      </c>
      <c r="H153" s="280" t="s">
        <v>295</v>
      </c>
      <c r="I153" s="280">
        <v>0.05</v>
      </c>
      <c r="J153" s="281">
        <v>0.03</v>
      </c>
    </row>
    <row r="154" spans="1:10" x14ac:dyDescent="0.3">
      <c r="A154" s="277" t="s">
        <v>473</v>
      </c>
      <c r="B154" s="278">
        <f t="shared" si="6"/>
        <v>0</v>
      </c>
      <c r="C154" s="278" t="str">
        <f t="shared" si="7"/>
        <v>Atlántico</v>
      </c>
      <c r="D154" s="278" t="str">
        <f t="shared" si="8"/>
        <v>Campo De La Cruz, Atlántico</v>
      </c>
      <c r="E154" s="279">
        <v>8137</v>
      </c>
      <c r="F154" s="280">
        <v>0.1</v>
      </c>
      <c r="G154" s="280">
        <v>0.1</v>
      </c>
      <c r="H154" s="280" t="s">
        <v>295</v>
      </c>
      <c r="I154" s="280">
        <v>0.08</v>
      </c>
      <c r="J154" s="281">
        <v>0.03</v>
      </c>
    </row>
    <row r="155" spans="1:10" x14ac:dyDescent="0.3">
      <c r="A155" s="277" t="s">
        <v>474</v>
      </c>
      <c r="B155" s="278">
        <f t="shared" si="6"/>
        <v>0</v>
      </c>
      <c r="C155" s="278" t="str">
        <f t="shared" si="7"/>
        <v>Atlántico</v>
      </c>
      <c r="D155" s="278" t="str">
        <f t="shared" si="8"/>
        <v>Candelaria, Atlántico</v>
      </c>
      <c r="E155" s="279">
        <v>8141</v>
      </c>
      <c r="F155" s="280">
        <v>0.1</v>
      </c>
      <c r="G155" s="280">
        <v>0.1</v>
      </c>
      <c r="H155" s="280" t="s">
        <v>295</v>
      </c>
      <c r="I155" s="280">
        <v>0.08</v>
      </c>
      <c r="J155" s="281">
        <v>0.03</v>
      </c>
    </row>
    <row r="156" spans="1:10" x14ac:dyDescent="0.3">
      <c r="A156" s="277" t="s">
        <v>475</v>
      </c>
      <c r="B156" s="278">
        <f t="shared" si="6"/>
        <v>0</v>
      </c>
      <c r="C156" s="278" t="str">
        <f t="shared" si="7"/>
        <v>Atlántico</v>
      </c>
      <c r="D156" s="278" t="str">
        <f t="shared" si="8"/>
        <v>Galapa, Atlántico</v>
      </c>
      <c r="E156" s="279">
        <v>8296</v>
      </c>
      <c r="F156" s="280">
        <v>0.1</v>
      </c>
      <c r="G156" s="280">
        <v>0.1</v>
      </c>
      <c r="H156" s="280" t="s">
        <v>295</v>
      </c>
      <c r="I156" s="280">
        <v>0.05</v>
      </c>
      <c r="J156" s="281">
        <v>0.03</v>
      </c>
    </row>
    <row r="157" spans="1:10" x14ac:dyDescent="0.3">
      <c r="A157" s="277" t="s">
        <v>476</v>
      </c>
      <c r="B157" s="278">
        <f t="shared" si="6"/>
        <v>0</v>
      </c>
      <c r="C157" s="278" t="str">
        <f t="shared" si="7"/>
        <v>Atlántico</v>
      </c>
      <c r="D157" s="278" t="str">
        <f t="shared" si="8"/>
        <v>Juan De Acosta, Atlántico</v>
      </c>
      <c r="E157" s="279">
        <v>8372</v>
      </c>
      <c r="F157" s="280">
        <v>0.1</v>
      </c>
      <c r="G157" s="280">
        <v>0.1</v>
      </c>
      <c r="H157" s="280" t="s">
        <v>295</v>
      </c>
      <c r="I157" s="280">
        <v>0.04</v>
      </c>
      <c r="J157" s="281">
        <v>0.03</v>
      </c>
    </row>
    <row r="158" spans="1:10" x14ac:dyDescent="0.3">
      <c r="A158" s="277" t="s">
        <v>477</v>
      </c>
      <c r="B158" s="278">
        <f t="shared" si="6"/>
        <v>0</v>
      </c>
      <c r="C158" s="278" t="str">
        <f t="shared" si="7"/>
        <v>Atlántico</v>
      </c>
      <c r="D158" s="278" t="str">
        <f t="shared" si="8"/>
        <v>Luruaco, Atlántico</v>
      </c>
      <c r="E158" s="279">
        <v>8421</v>
      </c>
      <c r="F158" s="280">
        <v>0.1</v>
      </c>
      <c r="G158" s="280">
        <v>0.1</v>
      </c>
      <c r="H158" s="280" t="s">
        <v>295</v>
      </c>
      <c r="I158" s="280">
        <v>0.04</v>
      </c>
      <c r="J158" s="281">
        <v>0.02</v>
      </c>
    </row>
    <row r="159" spans="1:10" x14ac:dyDescent="0.3">
      <c r="A159" s="277" t="s">
        <v>478</v>
      </c>
      <c r="B159" s="278">
        <f t="shared" si="6"/>
        <v>0</v>
      </c>
      <c r="C159" s="278" t="str">
        <f t="shared" si="7"/>
        <v>Atlántico</v>
      </c>
      <c r="D159" s="278" t="str">
        <f t="shared" si="8"/>
        <v>Malambo, Atlántico</v>
      </c>
      <c r="E159" s="279">
        <v>8433</v>
      </c>
      <c r="F159" s="280">
        <v>0.1</v>
      </c>
      <c r="G159" s="280">
        <v>0.1</v>
      </c>
      <c r="H159" s="280" t="s">
        <v>295</v>
      </c>
      <c r="I159" s="280">
        <v>0.06</v>
      </c>
      <c r="J159" s="281">
        <v>0.03</v>
      </c>
    </row>
    <row r="160" spans="1:10" x14ac:dyDescent="0.3">
      <c r="A160" s="277" t="s">
        <v>479</v>
      </c>
      <c r="B160" s="278">
        <f t="shared" si="6"/>
        <v>0</v>
      </c>
      <c r="C160" s="278" t="str">
        <f t="shared" si="7"/>
        <v>Atlántico</v>
      </c>
      <c r="D160" s="278" t="str">
        <f t="shared" si="8"/>
        <v>Manatí, Atlántico</v>
      </c>
      <c r="E160" s="279">
        <v>8436</v>
      </c>
      <c r="F160" s="280">
        <v>0.1</v>
      </c>
      <c r="G160" s="280">
        <v>0.1</v>
      </c>
      <c r="H160" s="280" t="s">
        <v>295</v>
      </c>
      <c r="I160" s="280">
        <v>0.06</v>
      </c>
      <c r="J160" s="281">
        <v>0.03</v>
      </c>
    </row>
    <row r="161" spans="1:10" x14ac:dyDescent="0.3">
      <c r="A161" s="277" t="s">
        <v>480</v>
      </c>
      <c r="B161" s="278">
        <f t="shared" si="6"/>
        <v>0</v>
      </c>
      <c r="C161" s="278" t="str">
        <f t="shared" si="7"/>
        <v>Atlántico</v>
      </c>
      <c r="D161" s="278" t="str">
        <f t="shared" si="8"/>
        <v>Palmar De Varela, Atlántico</v>
      </c>
      <c r="E161" s="279">
        <v>8520</v>
      </c>
      <c r="F161" s="280">
        <v>0.1</v>
      </c>
      <c r="G161" s="280">
        <v>0.1</v>
      </c>
      <c r="H161" s="280" t="s">
        <v>295</v>
      </c>
      <c r="I161" s="280">
        <v>0.08</v>
      </c>
      <c r="J161" s="281">
        <v>0.03</v>
      </c>
    </row>
    <row r="162" spans="1:10" x14ac:dyDescent="0.3">
      <c r="A162" s="277" t="s">
        <v>481</v>
      </c>
      <c r="B162" s="278">
        <f t="shared" si="6"/>
        <v>0</v>
      </c>
      <c r="C162" s="278" t="str">
        <f t="shared" si="7"/>
        <v>Atlántico</v>
      </c>
      <c r="D162" s="278" t="str">
        <f t="shared" si="8"/>
        <v>Piojo, Atlántico</v>
      </c>
      <c r="E162" s="279">
        <v>8549</v>
      </c>
      <c r="F162" s="280">
        <v>0.1</v>
      </c>
      <c r="G162" s="280">
        <v>0.1</v>
      </c>
      <c r="H162" s="280" t="s">
        <v>295</v>
      </c>
      <c r="I162" s="280">
        <v>0.04</v>
      </c>
      <c r="J162" s="281">
        <v>0.02</v>
      </c>
    </row>
    <row r="163" spans="1:10" x14ac:dyDescent="0.3">
      <c r="A163" s="277" t="s">
        <v>482</v>
      </c>
      <c r="B163" s="278">
        <f t="shared" si="6"/>
        <v>0</v>
      </c>
      <c r="C163" s="278" t="str">
        <f t="shared" si="7"/>
        <v>Atlántico</v>
      </c>
      <c r="D163" s="278" t="str">
        <f t="shared" si="8"/>
        <v>PoloNuevo, Atlántico</v>
      </c>
      <c r="E163" s="279">
        <v>8558</v>
      </c>
      <c r="F163" s="280">
        <v>0.1</v>
      </c>
      <c r="G163" s="280">
        <v>0.1</v>
      </c>
      <c r="H163" s="280" t="s">
        <v>295</v>
      </c>
      <c r="I163" s="280">
        <v>0.06</v>
      </c>
      <c r="J163" s="281">
        <v>0.03</v>
      </c>
    </row>
    <row r="164" spans="1:10" x14ac:dyDescent="0.3">
      <c r="A164" s="277" t="s">
        <v>483</v>
      </c>
      <c r="B164" s="278">
        <f t="shared" si="6"/>
        <v>0</v>
      </c>
      <c r="C164" s="278" t="str">
        <f t="shared" si="7"/>
        <v>Atlántico</v>
      </c>
      <c r="D164" s="278" t="str">
        <f t="shared" si="8"/>
        <v>Ponedera, Atlántico</v>
      </c>
      <c r="E164" s="279">
        <v>8560</v>
      </c>
      <c r="F164" s="280">
        <v>0.1</v>
      </c>
      <c r="G164" s="280">
        <v>0.1</v>
      </c>
      <c r="H164" s="280" t="s">
        <v>295</v>
      </c>
      <c r="I164" s="280">
        <v>0.08</v>
      </c>
      <c r="J164" s="281">
        <v>0.03</v>
      </c>
    </row>
    <row r="165" spans="1:10" x14ac:dyDescent="0.3">
      <c r="A165" s="277" t="s">
        <v>484</v>
      </c>
      <c r="B165" s="278">
        <f t="shared" si="6"/>
        <v>0</v>
      </c>
      <c r="C165" s="278" t="str">
        <f t="shared" si="7"/>
        <v>Atlántico</v>
      </c>
      <c r="D165" s="278" t="str">
        <f t="shared" si="8"/>
        <v>Puerto Colombia, Atlántico</v>
      </c>
      <c r="E165" s="279">
        <v>8573</v>
      </c>
      <c r="F165" s="280">
        <v>0.1</v>
      </c>
      <c r="G165" s="280">
        <v>0.1</v>
      </c>
      <c r="H165" s="280" t="s">
        <v>295</v>
      </c>
      <c r="I165" s="280">
        <v>0.04</v>
      </c>
      <c r="J165" s="281">
        <v>0.03</v>
      </c>
    </row>
    <row r="166" spans="1:10" x14ac:dyDescent="0.3">
      <c r="A166" s="277" t="s">
        <v>485</v>
      </c>
      <c r="B166" s="278">
        <f t="shared" si="6"/>
        <v>0</v>
      </c>
      <c r="C166" s="278" t="str">
        <f t="shared" si="7"/>
        <v>Atlántico</v>
      </c>
      <c r="D166" s="278" t="str">
        <f t="shared" si="8"/>
        <v>Repelón, Atlántico</v>
      </c>
      <c r="E166" s="279">
        <v>8606</v>
      </c>
      <c r="F166" s="280">
        <v>0.1</v>
      </c>
      <c r="G166" s="280">
        <v>0.1</v>
      </c>
      <c r="H166" s="280" t="s">
        <v>295</v>
      </c>
      <c r="I166" s="280">
        <v>0.04</v>
      </c>
      <c r="J166" s="281">
        <v>0.02</v>
      </c>
    </row>
    <row r="167" spans="1:10" x14ac:dyDescent="0.3">
      <c r="A167" s="277" t="s">
        <v>486</v>
      </c>
      <c r="B167" s="278">
        <f t="shared" si="6"/>
        <v>0</v>
      </c>
      <c r="C167" s="278" t="str">
        <f t="shared" si="7"/>
        <v>Atlántico</v>
      </c>
      <c r="D167" s="278" t="str">
        <f t="shared" si="8"/>
        <v>Sabanagrande, Atlántico</v>
      </c>
      <c r="E167" s="279">
        <v>8634</v>
      </c>
      <c r="F167" s="280">
        <v>0.1</v>
      </c>
      <c r="G167" s="280">
        <v>0.1</v>
      </c>
      <c r="H167" s="280" t="s">
        <v>295</v>
      </c>
      <c r="I167" s="280">
        <v>7.0000000000000007E-2</v>
      </c>
      <c r="J167" s="281">
        <v>0.03</v>
      </c>
    </row>
    <row r="168" spans="1:10" x14ac:dyDescent="0.3">
      <c r="A168" s="277" t="s">
        <v>420</v>
      </c>
      <c r="B168" s="278">
        <f t="shared" si="6"/>
        <v>0</v>
      </c>
      <c r="C168" s="278" t="str">
        <f t="shared" si="7"/>
        <v>Atlántico</v>
      </c>
      <c r="D168" s="278" t="str">
        <f t="shared" si="8"/>
        <v>Sabanalarga, Atlántico</v>
      </c>
      <c r="E168" s="279">
        <v>8638</v>
      </c>
      <c r="F168" s="280">
        <v>0.1</v>
      </c>
      <c r="G168" s="280">
        <v>0.1</v>
      </c>
      <c r="H168" s="280" t="s">
        <v>295</v>
      </c>
      <c r="I168" s="280">
        <v>0.05</v>
      </c>
      <c r="J168" s="281">
        <v>0.03</v>
      </c>
    </row>
    <row r="169" spans="1:10" x14ac:dyDescent="0.3">
      <c r="A169" s="277" t="s">
        <v>487</v>
      </c>
      <c r="B169" s="278">
        <f t="shared" si="6"/>
        <v>0</v>
      </c>
      <c r="C169" s="278" t="str">
        <f t="shared" si="7"/>
        <v>Atlántico</v>
      </c>
      <c r="D169" s="278" t="str">
        <f t="shared" si="8"/>
        <v>Santa Lucía, Atlántico</v>
      </c>
      <c r="E169" s="279">
        <v>8675</v>
      </c>
      <c r="F169" s="280">
        <v>0.1</v>
      </c>
      <c r="G169" s="280">
        <v>0.1</v>
      </c>
      <c r="H169" s="280" t="s">
        <v>295</v>
      </c>
      <c r="I169" s="280">
        <v>7.0000000000000007E-2</v>
      </c>
      <c r="J169" s="281">
        <v>0.03</v>
      </c>
    </row>
    <row r="170" spans="1:10" x14ac:dyDescent="0.3">
      <c r="A170" s="277" t="s">
        <v>488</v>
      </c>
      <c r="B170" s="278">
        <f t="shared" si="6"/>
        <v>0</v>
      </c>
      <c r="C170" s="278" t="str">
        <f t="shared" si="7"/>
        <v>Atlántico</v>
      </c>
      <c r="D170" s="278" t="str">
        <f t="shared" si="8"/>
        <v>Santo Tomás, Atlántico</v>
      </c>
      <c r="E170" s="279">
        <v>8685</v>
      </c>
      <c r="F170" s="280">
        <v>0.1</v>
      </c>
      <c r="G170" s="280">
        <v>0.1</v>
      </c>
      <c r="H170" s="280" t="s">
        <v>295</v>
      </c>
      <c r="I170" s="280">
        <v>7.0000000000000007E-2</v>
      </c>
      <c r="J170" s="281">
        <v>0.03</v>
      </c>
    </row>
    <row r="171" spans="1:10" x14ac:dyDescent="0.3">
      <c r="A171" s="277" t="s">
        <v>489</v>
      </c>
      <c r="B171" s="278">
        <f t="shared" si="6"/>
        <v>0</v>
      </c>
      <c r="C171" s="278" t="str">
        <f t="shared" si="7"/>
        <v>Atlántico</v>
      </c>
      <c r="D171" s="278" t="str">
        <f t="shared" si="8"/>
        <v>Soledad, Atlántico</v>
      </c>
      <c r="E171" s="279">
        <v>8758</v>
      </c>
      <c r="F171" s="280">
        <v>0.1</v>
      </c>
      <c r="G171" s="280">
        <v>0.1</v>
      </c>
      <c r="H171" s="280" t="s">
        <v>295</v>
      </c>
      <c r="I171" s="280">
        <v>0.06</v>
      </c>
      <c r="J171" s="281">
        <v>0.03</v>
      </c>
    </row>
    <row r="172" spans="1:10" x14ac:dyDescent="0.3">
      <c r="A172" s="277" t="s">
        <v>490</v>
      </c>
      <c r="B172" s="278">
        <f t="shared" si="6"/>
        <v>0</v>
      </c>
      <c r="C172" s="278" t="str">
        <f t="shared" si="7"/>
        <v>Atlántico</v>
      </c>
      <c r="D172" s="278" t="str">
        <f t="shared" si="8"/>
        <v>Suán, Atlántico</v>
      </c>
      <c r="E172" s="279">
        <v>8770</v>
      </c>
      <c r="F172" s="280">
        <v>0.1</v>
      </c>
      <c r="G172" s="280">
        <v>0.1</v>
      </c>
      <c r="H172" s="280" t="s">
        <v>295</v>
      </c>
      <c r="I172" s="280">
        <v>0.08</v>
      </c>
      <c r="J172" s="281">
        <v>0.03</v>
      </c>
    </row>
    <row r="173" spans="1:10" x14ac:dyDescent="0.3">
      <c r="A173" s="277" t="s">
        <v>491</v>
      </c>
      <c r="B173" s="278">
        <f t="shared" si="6"/>
        <v>0</v>
      </c>
      <c r="C173" s="278" t="str">
        <f t="shared" si="7"/>
        <v>Atlántico</v>
      </c>
      <c r="D173" s="278" t="str">
        <f t="shared" si="8"/>
        <v>Tubará, Atlántico</v>
      </c>
      <c r="E173" s="279">
        <v>8832</v>
      </c>
      <c r="F173" s="280">
        <v>0.1</v>
      </c>
      <c r="G173" s="280">
        <v>0.1</v>
      </c>
      <c r="H173" s="280" t="s">
        <v>295</v>
      </c>
      <c r="I173" s="280">
        <v>0.04</v>
      </c>
      <c r="J173" s="281">
        <v>0.03</v>
      </c>
    </row>
    <row r="174" spans="1:10" ht="17.25" thickBot="1" x14ac:dyDescent="0.35">
      <c r="A174" s="294" t="s">
        <v>492</v>
      </c>
      <c r="B174" s="295">
        <f t="shared" si="6"/>
        <v>0</v>
      </c>
      <c r="C174" s="295" t="str">
        <f t="shared" si="7"/>
        <v>Atlántico</v>
      </c>
      <c r="D174" s="295" t="str">
        <f t="shared" si="8"/>
        <v>Usiacurí, Atlántico</v>
      </c>
      <c r="E174" s="296">
        <v>8849</v>
      </c>
      <c r="F174" s="297">
        <v>0.1</v>
      </c>
      <c r="G174" s="297">
        <v>0.1</v>
      </c>
      <c r="H174" s="297" t="s">
        <v>295</v>
      </c>
      <c r="I174" s="297">
        <v>0.04</v>
      </c>
      <c r="J174" s="298">
        <v>0.03</v>
      </c>
    </row>
    <row r="175" spans="1:10" ht="17.25" thickBot="1" x14ac:dyDescent="0.35">
      <c r="A175" s="299" t="s">
        <v>493</v>
      </c>
      <c r="B175" s="300">
        <f t="shared" si="6"/>
        <v>1</v>
      </c>
      <c r="C175" s="300" t="str">
        <f t="shared" si="7"/>
        <v>Bolívar</v>
      </c>
      <c r="D175" s="300" t="str">
        <f t="shared" si="8"/>
        <v/>
      </c>
      <c r="E175" s="301"/>
      <c r="F175" s="302"/>
      <c r="G175" s="302"/>
      <c r="H175" s="302"/>
      <c r="I175" s="302"/>
      <c r="J175" s="303"/>
    </row>
    <row r="176" spans="1:10" x14ac:dyDescent="0.3">
      <c r="A176" s="304" t="s">
        <v>494</v>
      </c>
      <c r="B176" s="305">
        <f t="shared" si="6"/>
        <v>0</v>
      </c>
      <c r="C176" s="305" t="str">
        <f t="shared" si="7"/>
        <v>Bolívar</v>
      </c>
      <c r="D176" s="305" t="str">
        <f t="shared" si="8"/>
        <v>Cartagena, Bolívar</v>
      </c>
      <c r="E176" s="306">
        <v>13001</v>
      </c>
      <c r="F176" s="307">
        <v>0.1</v>
      </c>
      <c r="G176" s="307">
        <v>0.1</v>
      </c>
      <c r="H176" s="307" t="s">
        <v>295</v>
      </c>
      <c r="I176" s="307">
        <v>0.05</v>
      </c>
      <c r="J176" s="308">
        <v>0.03</v>
      </c>
    </row>
    <row r="177" spans="1:10" x14ac:dyDescent="0.3">
      <c r="A177" s="277" t="s">
        <v>495</v>
      </c>
      <c r="B177" s="278">
        <f t="shared" si="6"/>
        <v>0</v>
      </c>
      <c r="C177" s="278" t="str">
        <f t="shared" si="7"/>
        <v>Bolívar</v>
      </c>
      <c r="D177" s="278" t="str">
        <f t="shared" si="8"/>
        <v>Achí, Bolívar</v>
      </c>
      <c r="E177" s="279">
        <v>13006</v>
      </c>
      <c r="F177" s="280">
        <v>0.15</v>
      </c>
      <c r="G177" s="280">
        <v>0.15</v>
      </c>
      <c r="H177" s="280" t="s">
        <v>40</v>
      </c>
      <c r="I177" s="280">
        <v>7.0000000000000007E-2</v>
      </c>
      <c r="J177" s="281">
        <v>0.04</v>
      </c>
    </row>
    <row r="178" spans="1:10" x14ac:dyDescent="0.3">
      <c r="A178" s="277" t="s">
        <v>496</v>
      </c>
      <c r="B178" s="278">
        <f t="shared" si="6"/>
        <v>0</v>
      </c>
      <c r="C178" s="278" t="str">
        <f t="shared" si="7"/>
        <v>Bolívar</v>
      </c>
      <c r="D178" s="278" t="str">
        <f t="shared" si="8"/>
        <v>Altos del Rosario, Bolívar</v>
      </c>
      <c r="E178" s="279">
        <v>13030</v>
      </c>
      <c r="F178" s="280">
        <v>0.15</v>
      </c>
      <c r="G178" s="280">
        <v>0.15</v>
      </c>
      <c r="H178" s="280" t="s">
        <v>40</v>
      </c>
      <c r="I178" s="280">
        <v>0.06</v>
      </c>
      <c r="J178" s="281">
        <v>0.03</v>
      </c>
    </row>
    <row r="179" spans="1:10" x14ac:dyDescent="0.3">
      <c r="A179" s="277" t="s">
        <v>497</v>
      </c>
      <c r="B179" s="278">
        <f t="shared" si="6"/>
        <v>0</v>
      </c>
      <c r="C179" s="278" t="str">
        <f t="shared" si="7"/>
        <v>Bolívar</v>
      </c>
      <c r="D179" s="278" t="str">
        <f t="shared" si="8"/>
        <v>Arenal, Bolívar</v>
      </c>
      <c r="E179" s="279">
        <v>13042</v>
      </c>
      <c r="F179" s="280">
        <v>0.15</v>
      </c>
      <c r="G179" s="280">
        <v>0.15</v>
      </c>
      <c r="H179" s="280" t="s">
        <v>40</v>
      </c>
      <c r="I179" s="280">
        <v>0.05</v>
      </c>
      <c r="J179" s="281">
        <v>0.04</v>
      </c>
    </row>
    <row r="180" spans="1:10" x14ac:dyDescent="0.3">
      <c r="A180" s="277" t="s">
        <v>498</v>
      </c>
      <c r="B180" s="278">
        <f t="shared" si="6"/>
        <v>0</v>
      </c>
      <c r="C180" s="278" t="str">
        <f t="shared" si="7"/>
        <v>Bolívar</v>
      </c>
      <c r="D180" s="278" t="str">
        <f t="shared" si="8"/>
        <v>Arjona, Bolívar</v>
      </c>
      <c r="E180" s="279">
        <v>13052</v>
      </c>
      <c r="F180" s="280">
        <v>0.1</v>
      </c>
      <c r="G180" s="280">
        <v>0.1</v>
      </c>
      <c r="H180" s="280" t="s">
        <v>295</v>
      </c>
      <c r="I180" s="280">
        <v>0.05</v>
      </c>
      <c r="J180" s="281">
        <v>0.03</v>
      </c>
    </row>
    <row r="181" spans="1:10" x14ac:dyDescent="0.3">
      <c r="A181" s="277" t="s">
        <v>499</v>
      </c>
      <c r="B181" s="278">
        <f t="shared" si="6"/>
        <v>0</v>
      </c>
      <c r="C181" s="278" t="str">
        <f t="shared" si="7"/>
        <v>Bolívar</v>
      </c>
      <c r="D181" s="278" t="str">
        <f t="shared" si="8"/>
        <v>Arroyohondo, Bolívar</v>
      </c>
      <c r="E181" s="279">
        <v>13062</v>
      </c>
      <c r="F181" s="280">
        <v>0.1</v>
      </c>
      <c r="G181" s="280">
        <v>0.1</v>
      </c>
      <c r="H181" s="280" t="s">
        <v>295</v>
      </c>
      <c r="I181" s="280">
        <v>7.0000000000000007E-2</v>
      </c>
      <c r="J181" s="281">
        <v>0.04</v>
      </c>
    </row>
    <row r="182" spans="1:10" x14ac:dyDescent="0.3">
      <c r="A182" s="277" t="s">
        <v>500</v>
      </c>
      <c r="B182" s="278">
        <f t="shared" si="6"/>
        <v>0</v>
      </c>
      <c r="C182" s="278" t="str">
        <f t="shared" si="7"/>
        <v>Bolívar</v>
      </c>
      <c r="D182" s="278" t="str">
        <f t="shared" si="8"/>
        <v>Barranco De Loba, Bolívar</v>
      </c>
      <c r="E182" s="279">
        <v>13074</v>
      </c>
      <c r="F182" s="280">
        <v>0.15</v>
      </c>
      <c r="G182" s="280">
        <v>0.15</v>
      </c>
      <c r="H182" s="280" t="s">
        <v>40</v>
      </c>
      <c r="I182" s="280">
        <v>0.05</v>
      </c>
      <c r="J182" s="281">
        <v>0.03</v>
      </c>
    </row>
    <row r="183" spans="1:10" x14ac:dyDescent="0.3">
      <c r="A183" s="277" t="s">
        <v>501</v>
      </c>
      <c r="B183" s="278">
        <f t="shared" si="6"/>
        <v>0</v>
      </c>
      <c r="C183" s="278" t="str">
        <f t="shared" si="7"/>
        <v>Bolívar</v>
      </c>
      <c r="D183" s="278" t="str">
        <f t="shared" si="8"/>
        <v>Calamar, Bolívar</v>
      </c>
      <c r="E183" s="279">
        <v>13140</v>
      </c>
      <c r="F183" s="280">
        <v>0.1</v>
      </c>
      <c r="G183" s="280">
        <v>0.1</v>
      </c>
      <c r="H183" s="280" t="s">
        <v>295</v>
      </c>
      <c r="I183" s="280">
        <v>0.08</v>
      </c>
      <c r="J183" s="281">
        <v>0.04</v>
      </c>
    </row>
    <row r="184" spans="1:10" x14ac:dyDescent="0.3">
      <c r="A184" s="277" t="s">
        <v>502</v>
      </c>
      <c r="B184" s="278">
        <f t="shared" si="6"/>
        <v>0</v>
      </c>
      <c r="C184" s="278" t="str">
        <f t="shared" si="7"/>
        <v>Bolívar</v>
      </c>
      <c r="D184" s="278" t="str">
        <f t="shared" si="8"/>
        <v>Cantagallo, Bolívar</v>
      </c>
      <c r="E184" s="279">
        <v>13160</v>
      </c>
      <c r="F184" s="280">
        <v>0.15</v>
      </c>
      <c r="G184" s="280">
        <v>0.15</v>
      </c>
      <c r="H184" s="280" t="s">
        <v>40</v>
      </c>
      <c r="I184" s="280">
        <v>0.08</v>
      </c>
      <c r="J184" s="281">
        <v>0.04</v>
      </c>
    </row>
    <row r="185" spans="1:10" x14ac:dyDescent="0.3">
      <c r="A185" s="277" t="s">
        <v>503</v>
      </c>
      <c r="B185" s="278">
        <f t="shared" si="6"/>
        <v>0</v>
      </c>
      <c r="C185" s="278" t="str">
        <f t="shared" si="7"/>
        <v>Bolívar</v>
      </c>
      <c r="D185" s="278" t="str">
        <f t="shared" si="8"/>
        <v>Cicuco, Bolívar</v>
      </c>
      <c r="E185" s="279">
        <v>13188</v>
      </c>
      <c r="F185" s="280">
        <v>0.1</v>
      </c>
      <c r="G185" s="280">
        <v>0.15</v>
      </c>
      <c r="H185" s="280" t="s">
        <v>40</v>
      </c>
      <c r="I185" s="280">
        <v>0.04</v>
      </c>
      <c r="J185" s="281">
        <v>0.03</v>
      </c>
    </row>
    <row r="186" spans="1:10" x14ac:dyDescent="0.3">
      <c r="A186" s="277" t="s">
        <v>504</v>
      </c>
      <c r="B186" s="278">
        <f t="shared" si="6"/>
        <v>0</v>
      </c>
      <c r="C186" s="278" t="str">
        <f t="shared" si="7"/>
        <v>Bolívar</v>
      </c>
      <c r="D186" s="278" t="str">
        <f t="shared" si="8"/>
        <v>Clemencia, Bolívar</v>
      </c>
      <c r="E186" s="279">
        <v>13222</v>
      </c>
      <c r="F186" s="280">
        <v>0.1</v>
      </c>
      <c r="G186" s="280">
        <v>0.1</v>
      </c>
      <c r="H186" s="280" t="s">
        <v>295</v>
      </c>
      <c r="I186" s="280">
        <v>0.05</v>
      </c>
      <c r="J186" s="281">
        <v>0.03</v>
      </c>
    </row>
    <row r="187" spans="1:10" x14ac:dyDescent="0.3">
      <c r="A187" s="277" t="s">
        <v>312</v>
      </c>
      <c r="B187" s="278">
        <f t="shared" si="6"/>
        <v>0</v>
      </c>
      <c r="C187" s="278" t="str">
        <f t="shared" si="7"/>
        <v>Bolívar</v>
      </c>
      <c r="D187" s="278" t="str">
        <f t="shared" si="8"/>
        <v>Córdoba, Bolívar</v>
      </c>
      <c r="E187" s="279">
        <v>13212</v>
      </c>
      <c r="F187" s="280">
        <v>0.1</v>
      </c>
      <c r="G187" s="280">
        <v>0.1</v>
      </c>
      <c r="H187" s="280" t="s">
        <v>295</v>
      </c>
      <c r="I187" s="280">
        <v>0.05</v>
      </c>
      <c r="J187" s="281">
        <v>0.03</v>
      </c>
    </row>
    <row r="188" spans="1:10" x14ac:dyDescent="0.3">
      <c r="A188" s="277" t="s">
        <v>505</v>
      </c>
      <c r="B188" s="278">
        <f t="shared" si="6"/>
        <v>0</v>
      </c>
      <c r="C188" s="278" t="str">
        <f t="shared" si="7"/>
        <v>Bolívar</v>
      </c>
      <c r="D188" s="278" t="str">
        <f t="shared" si="8"/>
        <v>El Carmen De Bolívar, Bolívar</v>
      </c>
      <c r="E188" s="279">
        <v>13244</v>
      </c>
      <c r="F188" s="280">
        <v>0.1</v>
      </c>
      <c r="G188" s="280">
        <v>0.15</v>
      </c>
      <c r="H188" s="280" t="s">
        <v>40</v>
      </c>
      <c r="I188" s="280">
        <v>0.08</v>
      </c>
      <c r="J188" s="281">
        <v>0.04</v>
      </c>
    </row>
    <row r="189" spans="1:10" x14ac:dyDescent="0.3">
      <c r="A189" s="277" t="s">
        <v>506</v>
      </c>
      <c r="B189" s="278">
        <f t="shared" si="6"/>
        <v>0</v>
      </c>
      <c r="C189" s="278" t="str">
        <f t="shared" si="7"/>
        <v>Bolívar</v>
      </c>
      <c r="D189" s="278" t="str">
        <f t="shared" si="8"/>
        <v>El Guamo, Bolívar</v>
      </c>
      <c r="E189" s="279">
        <v>13248</v>
      </c>
      <c r="F189" s="280">
        <v>0.1</v>
      </c>
      <c r="G189" s="280">
        <v>0.1</v>
      </c>
      <c r="H189" s="280" t="s">
        <v>295</v>
      </c>
      <c r="I189" s="280">
        <v>0.08</v>
      </c>
      <c r="J189" s="281">
        <v>0.04</v>
      </c>
    </row>
    <row r="190" spans="1:10" x14ac:dyDescent="0.3">
      <c r="A190" s="277" t="s">
        <v>507</v>
      </c>
      <c r="B190" s="278">
        <f t="shared" si="6"/>
        <v>0</v>
      </c>
      <c r="C190" s="278" t="str">
        <f t="shared" si="7"/>
        <v>Bolívar</v>
      </c>
      <c r="D190" s="278" t="str">
        <f t="shared" si="8"/>
        <v>El Peñón, Bolívar</v>
      </c>
      <c r="E190" s="279">
        <v>13268</v>
      </c>
      <c r="F190" s="280">
        <v>0.15</v>
      </c>
      <c r="G190" s="280">
        <v>0.15</v>
      </c>
      <c r="H190" s="280" t="s">
        <v>40</v>
      </c>
      <c r="I190" s="280">
        <v>7.0000000000000007E-2</v>
      </c>
      <c r="J190" s="281">
        <v>0.04</v>
      </c>
    </row>
    <row r="191" spans="1:10" x14ac:dyDescent="0.3">
      <c r="A191" s="277" t="s">
        <v>508</v>
      </c>
      <c r="B191" s="278">
        <f t="shared" si="6"/>
        <v>0</v>
      </c>
      <c r="C191" s="278" t="str">
        <f t="shared" si="7"/>
        <v>Bolívar</v>
      </c>
      <c r="D191" s="278" t="str">
        <f t="shared" si="8"/>
        <v>Hatillo De Loba, Bolívar</v>
      </c>
      <c r="E191" s="279">
        <v>13300</v>
      </c>
      <c r="F191" s="280">
        <v>0.15</v>
      </c>
      <c r="G191" s="280">
        <v>0.1</v>
      </c>
      <c r="H191" s="280" t="s">
        <v>40</v>
      </c>
      <c r="I191" s="280">
        <v>0.05</v>
      </c>
      <c r="J191" s="281">
        <v>0.03</v>
      </c>
    </row>
    <row r="192" spans="1:10" x14ac:dyDescent="0.3">
      <c r="A192" s="277" t="s">
        <v>509</v>
      </c>
      <c r="B192" s="278">
        <f t="shared" si="6"/>
        <v>0</v>
      </c>
      <c r="C192" s="278" t="str">
        <f t="shared" si="7"/>
        <v>Bolívar</v>
      </c>
      <c r="D192" s="278" t="str">
        <f t="shared" si="8"/>
        <v>Magangue, Bolívar</v>
      </c>
      <c r="E192" s="279">
        <v>13430</v>
      </c>
      <c r="F192" s="280">
        <v>0.1</v>
      </c>
      <c r="G192" s="280">
        <v>0.15</v>
      </c>
      <c r="H192" s="280" t="s">
        <v>40</v>
      </c>
      <c r="I192" s="280">
        <v>0.04</v>
      </c>
      <c r="J192" s="281">
        <v>0.03</v>
      </c>
    </row>
    <row r="193" spans="1:10" x14ac:dyDescent="0.3">
      <c r="A193" s="277" t="s">
        <v>510</v>
      </c>
      <c r="B193" s="278">
        <f t="shared" si="6"/>
        <v>0</v>
      </c>
      <c r="C193" s="278" t="str">
        <f t="shared" si="7"/>
        <v>Bolívar</v>
      </c>
      <c r="D193" s="278" t="str">
        <f t="shared" si="8"/>
        <v>Mahates, Bolívar</v>
      </c>
      <c r="E193" s="279">
        <v>13433</v>
      </c>
      <c r="F193" s="280">
        <v>0.1</v>
      </c>
      <c r="G193" s="280">
        <v>0.1</v>
      </c>
      <c r="H193" s="280" t="s">
        <v>295</v>
      </c>
      <c r="I193" s="280">
        <v>0.08</v>
      </c>
      <c r="J193" s="281">
        <v>0.03</v>
      </c>
    </row>
    <row r="194" spans="1:10" x14ac:dyDescent="0.3">
      <c r="A194" s="277" t="s">
        <v>511</v>
      </c>
      <c r="B194" s="278">
        <f t="shared" si="6"/>
        <v>0</v>
      </c>
      <c r="C194" s="278" t="str">
        <f t="shared" si="7"/>
        <v>Bolívar</v>
      </c>
      <c r="D194" s="278" t="str">
        <f t="shared" si="8"/>
        <v>Margarita, Bolívar</v>
      </c>
      <c r="E194" s="279">
        <v>13440</v>
      </c>
      <c r="F194" s="280">
        <v>0.1</v>
      </c>
      <c r="G194" s="280">
        <v>0.1</v>
      </c>
      <c r="H194" s="280" t="s">
        <v>295</v>
      </c>
      <c r="I194" s="280">
        <v>0.05</v>
      </c>
      <c r="J194" s="281">
        <v>0.03</v>
      </c>
    </row>
    <row r="195" spans="1:10" x14ac:dyDescent="0.3">
      <c r="A195" s="277" t="s">
        <v>512</v>
      </c>
      <c r="B195" s="278">
        <f t="shared" ref="B195:B258" si="9">IFERROR(FIND("Departamento",A195),0)</f>
        <v>0</v>
      </c>
      <c r="C195" s="278" t="str">
        <f t="shared" ref="C195:C258" si="10">IF(B195=1,IF(ISERROR(FIND("del",A195)),MID(A195,17,30),MID(A195,18,30)),C194)</f>
        <v>Bolívar</v>
      </c>
      <c r="D195" s="278" t="str">
        <f t="shared" ref="D195:D258" si="11">IF(B195=1,"",CONCATENATE(A195,", ",C195))</f>
        <v>María La Baja, Bolívar</v>
      </c>
      <c r="E195" s="279">
        <v>13442</v>
      </c>
      <c r="F195" s="280">
        <v>0.1</v>
      </c>
      <c r="G195" s="280">
        <v>0.15</v>
      </c>
      <c r="H195" s="280" t="s">
        <v>40</v>
      </c>
      <c r="I195" s="280">
        <v>7.0000000000000007E-2</v>
      </c>
      <c r="J195" s="281">
        <v>0.03</v>
      </c>
    </row>
    <row r="196" spans="1:10" x14ac:dyDescent="0.3">
      <c r="A196" s="277" t="s">
        <v>513</v>
      </c>
      <c r="B196" s="278">
        <f t="shared" si="9"/>
        <v>0</v>
      </c>
      <c r="C196" s="278" t="str">
        <f t="shared" si="10"/>
        <v>Bolívar</v>
      </c>
      <c r="D196" s="278" t="str">
        <f t="shared" si="11"/>
        <v>Mompós, Bolívar</v>
      </c>
      <c r="E196" s="279">
        <v>13468</v>
      </c>
      <c r="F196" s="280">
        <v>0.1</v>
      </c>
      <c r="G196" s="280">
        <v>0.15</v>
      </c>
      <c r="H196" s="280" t="s">
        <v>40</v>
      </c>
      <c r="I196" s="280">
        <v>0.04</v>
      </c>
      <c r="J196" s="281">
        <v>0.03</v>
      </c>
    </row>
    <row r="197" spans="1:10" x14ac:dyDescent="0.3">
      <c r="A197" s="277" t="s">
        <v>514</v>
      </c>
      <c r="B197" s="278">
        <f t="shared" si="9"/>
        <v>0</v>
      </c>
      <c r="C197" s="278" t="str">
        <f t="shared" si="10"/>
        <v>Bolívar</v>
      </c>
      <c r="D197" s="278" t="str">
        <f t="shared" si="11"/>
        <v>Montecristo, Bolívar</v>
      </c>
      <c r="E197" s="279">
        <v>13458</v>
      </c>
      <c r="F197" s="280">
        <v>0.15</v>
      </c>
      <c r="G197" s="280">
        <v>0.15</v>
      </c>
      <c r="H197" s="280" t="s">
        <v>40</v>
      </c>
      <c r="I197" s="280">
        <v>0.08</v>
      </c>
      <c r="J197" s="281">
        <v>0.04</v>
      </c>
    </row>
    <row r="198" spans="1:10" x14ac:dyDescent="0.3">
      <c r="A198" s="277" t="s">
        <v>515</v>
      </c>
      <c r="B198" s="278">
        <f t="shared" si="9"/>
        <v>0</v>
      </c>
      <c r="C198" s="278" t="str">
        <f t="shared" si="10"/>
        <v>Bolívar</v>
      </c>
      <c r="D198" s="278" t="str">
        <f t="shared" si="11"/>
        <v>Morales, Bolívar</v>
      </c>
      <c r="E198" s="279">
        <v>13473</v>
      </c>
      <c r="F198" s="280">
        <v>0.15</v>
      </c>
      <c r="G198" s="280">
        <v>0.15</v>
      </c>
      <c r="H198" s="280" t="s">
        <v>40</v>
      </c>
      <c r="I198" s="280">
        <v>7.0000000000000007E-2</v>
      </c>
      <c r="J198" s="281">
        <v>0.04</v>
      </c>
    </row>
    <row r="199" spans="1:10" x14ac:dyDescent="0.3">
      <c r="A199" s="277" t="s">
        <v>516</v>
      </c>
      <c r="B199" s="278">
        <f t="shared" si="9"/>
        <v>0</v>
      </c>
      <c r="C199" s="278" t="str">
        <f t="shared" si="10"/>
        <v>Bolívar</v>
      </c>
      <c r="D199" s="278" t="str">
        <f t="shared" si="11"/>
        <v>Pinillos, Bolívar</v>
      </c>
      <c r="E199" s="279">
        <v>13549</v>
      </c>
      <c r="F199" s="280">
        <v>0.1</v>
      </c>
      <c r="G199" s="280">
        <v>0.15</v>
      </c>
      <c r="H199" s="280" t="s">
        <v>40</v>
      </c>
      <c r="I199" s="280">
        <v>0.05</v>
      </c>
      <c r="J199" s="281">
        <v>0.03</v>
      </c>
    </row>
    <row r="200" spans="1:10" x14ac:dyDescent="0.3">
      <c r="A200" s="277" t="s">
        <v>517</v>
      </c>
      <c r="B200" s="278">
        <f t="shared" si="9"/>
        <v>0</v>
      </c>
      <c r="C200" s="278" t="str">
        <f t="shared" si="10"/>
        <v>Bolívar</v>
      </c>
      <c r="D200" s="278" t="str">
        <f t="shared" si="11"/>
        <v>Regidor, Bolívar</v>
      </c>
      <c r="E200" s="279">
        <v>13580</v>
      </c>
      <c r="F200" s="280">
        <v>0.15</v>
      </c>
      <c r="G200" s="280">
        <v>0.15</v>
      </c>
      <c r="H200" s="280" t="s">
        <v>40</v>
      </c>
      <c r="I200" s="280">
        <v>7.0000000000000007E-2</v>
      </c>
      <c r="J200" s="281">
        <v>0.04</v>
      </c>
    </row>
    <row r="201" spans="1:10" x14ac:dyDescent="0.3">
      <c r="A201" s="277" t="s">
        <v>518</v>
      </c>
      <c r="B201" s="278">
        <f t="shared" si="9"/>
        <v>0</v>
      </c>
      <c r="C201" s="278" t="str">
        <f t="shared" si="10"/>
        <v>Bolívar</v>
      </c>
      <c r="D201" s="278" t="str">
        <f t="shared" si="11"/>
        <v>Río Viejo, Bolívar</v>
      </c>
      <c r="E201" s="279">
        <v>13600</v>
      </c>
      <c r="F201" s="280">
        <v>0.15</v>
      </c>
      <c r="G201" s="280">
        <v>0.15</v>
      </c>
      <c r="H201" s="280" t="s">
        <v>40</v>
      </c>
      <c r="I201" s="280">
        <v>7.0000000000000007E-2</v>
      </c>
      <c r="J201" s="281">
        <v>0.04</v>
      </c>
    </row>
    <row r="202" spans="1:10" x14ac:dyDescent="0.3">
      <c r="A202" s="277" t="s">
        <v>519</v>
      </c>
      <c r="B202" s="278">
        <f t="shared" si="9"/>
        <v>0</v>
      </c>
      <c r="C202" s="278" t="str">
        <f t="shared" si="10"/>
        <v>Bolívar</v>
      </c>
      <c r="D202" s="278" t="str">
        <f t="shared" si="11"/>
        <v>San Cristóbal, Bolívar</v>
      </c>
      <c r="E202" s="279">
        <v>13620</v>
      </c>
      <c r="F202" s="280">
        <v>0.1</v>
      </c>
      <c r="G202" s="280">
        <v>0.1</v>
      </c>
      <c r="H202" s="280" t="s">
        <v>295</v>
      </c>
      <c r="I202" s="280">
        <v>0.08</v>
      </c>
      <c r="J202" s="281">
        <v>0.04</v>
      </c>
    </row>
    <row r="203" spans="1:10" x14ac:dyDescent="0.3">
      <c r="A203" s="277" t="s">
        <v>520</v>
      </c>
      <c r="B203" s="278">
        <f t="shared" si="9"/>
        <v>0</v>
      </c>
      <c r="C203" s="278" t="str">
        <f t="shared" si="10"/>
        <v>Bolívar</v>
      </c>
      <c r="D203" s="278" t="str">
        <f t="shared" si="11"/>
        <v>San Estanislao, Bolívar</v>
      </c>
      <c r="E203" s="279">
        <v>13647</v>
      </c>
      <c r="F203" s="280">
        <v>0.1</v>
      </c>
      <c r="G203" s="280">
        <v>0.1</v>
      </c>
      <c r="H203" s="280" t="s">
        <v>295</v>
      </c>
      <c r="I203" s="280">
        <v>0.06</v>
      </c>
      <c r="J203" s="281">
        <v>0.03</v>
      </c>
    </row>
    <row r="204" spans="1:10" x14ac:dyDescent="0.3">
      <c r="A204" s="277" t="s">
        <v>521</v>
      </c>
      <c r="B204" s="278">
        <f t="shared" si="9"/>
        <v>0</v>
      </c>
      <c r="C204" s="278" t="str">
        <f t="shared" si="10"/>
        <v>Bolívar</v>
      </c>
      <c r="D204" s="278" t="str">
        <f t="shared" si="11"/>
        <v>San Fernando, Bolívar</v>
      </c>
      <c r="E204" s="279">
        <v>13650</v>
      </c>
      <c r="F204" s="280">
        <v>0.1</v>
      </c>
      <c r="G204" s="280">
        <v>0.1</v>
      </c>
      <c r="H204" s="280" t="s">
        <v>295</v>
      </c>
      <c r="I204" s="280">
        <v>0.04</v>
      </c>
      <c r="J204" s="281">
        <v>0.03</v>
      </c>
    </row>
    <row r="205" spans="1:10" x14ac:dyDescent="0.3">
      <c r="A205" s="277" t="s">
        <v>522</v>
      </c>
      <c r="B205" s="278">
        <f t="shared" si="9"/>
        <v>0</v>
      </c>
      <c r="C205" s="278" t="str">
        <f t="shared" si="10"/>
        <v>Bolívar</v>
      </c>
      <c r="D205" s="278" t="str">
        <f t="shared" si="11"/>
        <v>San Jacinto, Bolívar</v>
      </c>
      <c r="E205" s="279">
        <v>13654</v>
      </c>
      <c r="F205" s="280">
        <v>0.1</v>
      </c>
      <c r="G205" s="280">
        <v>0.1</v>
      </c>
      <c r="H205" s="280" t="s">
        <v>295</v>
      </c>
      <c r="I205" s="280">
        <v>0.08</v>
      </c>
      <c r="J205" s="281">
        <v>0.04</v>
      </c>
    </row>
    <row r="206" spans="1:10" x14ac:dyDescent="0.3">
      <c r="A206" s="277" t="s">
        <v>523</v>
      </c>
      <c r="B206" s="278">
        <f t="shared" si="9"/>
        <v>0</v>
      </c>
      <c r="C206" s="278" t="str">
        <f t="shared" si="10"/>
        <v>Bolívar</v>
      </c>
      <c r="D206" s="278" t="str">
        <f t="shared" si="11"/>
        <v>San Jacinto del Cauca, Bolívar</v>
      </c>
      <c r="E206" s="279">
        <v>13655</v>
      </c>
      <c r="F206" s="280">
        <v>0.15</v>
      </c>
      <c r="G206" s="280">
        <v>0.15</v>
      </c>
      <c r="H206" s="280" t="s">
        <v>40</v>
      </c>
      <c r="I206" s="280">
        <v>0.08</v>
      </c>
      <c r="J206" s="281">
        <v>0.04</v>
      </c>
    </row>
    <row r="207" spans="1:10" x14ac:dyDescent="0.3">
      <c r="A207" s="277" t="s">
        <v>524</v>
      </c>
      <c r="B207" s="278">
        <f t="shared" si="9"/>
        <v>0</v>
      </c>
      <c r="C207" s="278" t="str">
        <f t="shared" si="10"/>
        <v>Bolívar</v>
      </c>
      <c r="D207" s="278" t="str">
        <f t="shared" si="11"/>
        <v>San Juan Nepomuceno, Bolívar</v>
      </c>
      <c r="E207" s="279">
        <v>13657</v>
      </c>
      <c r="F207" s="280">
        <v>0.1</v>
      </c>
      <c r="G207" s="280">
        <v>0.1</v>
      </c>
      <c r="H207" s="280" t="s">
        <v>295</v>
      </c>
      <c r="I207" s="280">
        <v>0.08</v>
      </c>
      <c r="J207" s="281">
        <v>0.04</v>
      </c>
    </row>
    <row r="208" spans="1:10" x14ac:dyDescent="0.3">
      <c r="A208" s="277" t="s">
        <v>525</v>
      </c>
      <c r="B208" s="278">
        <f t="shared" si="9"/>
        <v>0</v>
      </c>
      <c r="C208" s="278" t="str">
        <f t="shared" si="10"/>
        <v>Bolívar</v>
      </c>
      <c r="D208" s="278" t="str">
        <f t="shared" si="11"/>
        <v>San Martín De Loba, Bolívar</v>
      </c>
      <c r="E208" s="279">
        <v>13667</v>
      </c>
      <c r="F208" s="280">
        <v>0.15</v>
      </c>
      <c r="G208" s="280">
        <v>0.15</v>
      </c>
      <c r="H208" s="280" t="s">
        <v>40</v>
      </c>
      <c r="I208" s="280">
        <v>0.06</v>
      </c>
      <c r="J208" s="281">
        <v>0.04</v>
      </c>
    </row>
    <row r="209" spans="1:10" x14ac:dyDescent="0.3">
      <c r="A209" s="277" t="s">
        <v>526</v>
      </c>
      <c r="B209" s="278">
        <f t="shared" si="9"/>
        <v>0</v>
      </c>
      <c r="C209" s="278" t="str">
        <f t="shared" si="10"/>
        <v>Bolívar</v>
      </c>
      <c r="D209" s="278" t="str">
        <f t="shared" si="11"/>
        <v>San Pablo, Bolívar</v>
      </c>
      <c r="E209" s="279">
        <v>13670</v>
      </c>
      <c r="F209" s="280">
        <v>0.15</v>
      </c>
      <c r="G209" s="280">
        <v>0.15</v>
      </c>
      <c r="H209" s="280" t="s">
        <v>40</v>
      </c>
      <c r="I209" s="280">
        <v>0.36</v>
      </c>
      <c r="J209" s="281">
        <v>0.04</v>
      </c>
    </row>
    <row r="210" spans="1:10" x14ac:dyDescent="0.3">
      <c r="A210" s="277" t="s">
        <v>527</v>
      </c>
      <c r="B210" s="278">
        <f t="shared" si="9"/>
        <v>0</v>
      </c>
      <c r="C210" s="278" t="str">
        <f t="shared" si="10"/>
        <v>Bolívar</v>
      </c>
      <c r="D210" s="278" t="str">
        <f t="shared" si="11"/>
        <v>Santa Catalina, Bolívar</v>
      </c>
      <c r="E210" s="279">
        <v>13673</v>
      </c>
      <c r="F210" s="280">
        <v>0.1</v>
      </c>
      <c r="G210" s="280">
        <v>0.1</v>
      </c>
      <c r="H210" s="280" t="s">
        <v>295</v>
      </c>
      <c r="I210" s="280">
        <v>0.06</v>
      </c>
      <c r="J210" s="281">
        <v>0.03</v>
      </c>
    </row>
    <row r="211" spans="1:10" x14ac:dyDescent="0.3">
      <c r="A211" s="277" t="s">
        <v>528</v>
      </c>
      <c r="B211" s="278">
        <f t="shared" si="9"/>
        <v>0</v>
      </c>
      <c r="C211" s="278" t="str">
        <f t="shared" si="10"/>
        <v>Bolívar</v>
      </c>
      <c r="D211" s="278" t="str">
        <f t="shared" si="11"/>
        <v>Santa Rosa, Bolívar</v>
      </c>
      <c r="E211" s="279">
        <v>13683</v>
      </c>
      <c r="F211" s="280">
        <v>0.1</v>
      </c>
      <c r="G211" s="280">
        <v>0.1</v>
      </c>
      <c r="H211" s="280" t="s">
        <v>295</v>
      </c>
      <c r="I211" s="280">
        <v>0.05</v>
      </c>
      <c r="J211" s="281">
        <v>0.03</v>
      </c>
    </row>
    <row r="212" spans="1:10" x14ac:dyDescent="0.3">
      <c r="A212" s="277" t="s">
        <v>529</v>
      </c>
      <c r="B212" s="278">
        <f t="shared" si="9"/>
        <v>0</v>
      </c>
      <c r="C212" s="278" t="str">
        <f t="shared" si="10"/>
        <v>Bolívar</v>
      </c>
      <c r="D212" s="278" t="str">
        <f t="shared" si="11"/>
        <v>Santa Rosa del Sur, Bolívar</v>
      </c>
      <c r="E212" s="279">
        <v>13688</v>
      </c>
      <c r="F212" s="280">
        <v>0.15</v>
      </c>
      <c r="G212" s="280">
        <v>0.15</v>
      </c>
      <c r="H212" s="280" t="s">
        <v>40</v>
      </c>
      <c r="I212" s="280">
        <v>0.08</v>
      </c>
      <c r="J212" s="281">
        <v>0.04</v>
      </c>
    </row>
    <row r="213" spans="1:10" x14ac:dyDescent="0.3">
      <c r="A213" s="277" t="s">
        <v>530</v>
      </c>
      <c r="B213" s="278">
        <f t="shared" si="9"/>
        <v>0</v>
      </c>
      <c r="C213" s="278" t="str">
        <f t="shared" si="10"/>
        <v>Bolívar</v>
      </c>
      <c r="D213" s="278" t="str">
        <f t="shared" si="11"/>
        <v>Simití, Bolívar</v>
      </c>
      <c r="E213" s="279">
        <v>13744</v>
      </c>
      <c r="F213" s="280">
        <v>0.15</v>
      </c>
      <c r="G213" s="280">
        <v>0.15</v>
      </c>
      <c r="H213" s="280" t="s">
        <v>40</v>
      </c>
      <c r="I213" s="280">
        <v>0.08</v>
      </c>
      <c r="J213" s="281">
        <v>0.04</v>
      </c>
    </row>
    <row r="214" spans="1:10" x14ac:dyDescent="0.3">
      <c r="A214" s="277" t="s">
        <v>531</v>
      </c>
      <c r="B214" s="278">
        <f t="shared" si="9"/>
        <v>0</v>
      </c>
      <c r="C214" s="278" t="str">
        <f t="shared" si="10"/>
        <v>Bolívar</v>
      </c>
      <c r="D214" s="278" t="str">
        <f t="shared" si="11"/>
        <v>Soplaviento, Bolívar</v>
      </c>
      <c r="E214" s="279">
        <v>13760</v>
      </c>
      <c r="F214" s="280">
        <v>0.1</v>
      </c>
      <c r="G214" s="280">
        <v>0.1</v>
      </c>
      <c r="H214" s="280" t="s">
        <v>295</v>
      </c>
      <c r="I214" s="280">
        <v>0.08</v>
      </c>
      <c r="J214" s="281">
        <v>0.04</v>
      </c>
    </row>
    <row r="215" spans="1:10" x14ac:dyDescent="0.3">
      <c r="A215" s="277" t="s">
        <v>532</v>
      </c>
      <c r="B215" s="278">
        <f t="shared" si="9"/>
        <v>0</v>
      </c>
      <c r="C215" s="278" t="str">
        <f t="shared" si="10"/>
        <v>Bolívar</v>
      </c>
      <c r="D215" s="278" t="str">
        <f t="shared" si="11"/>
        <v>Talaigua Nuevo, Bolívar</v>
      </c>
      <c r="E215" s="279">
        <v>13780</v>
      </c>
      <c r="F215" s="280">
        <v>0.1</v>
      </c>
      <c r="G215" s="280">
        <v>0.1</v>
      </c>
      <c r="H215" s="280" t="s">
        <v>295</v>
      </c>
      <c r="I215" s="280">
        <v>0.04</v>
      </c>
      <c r="J215" s="281">
        <v>0.03</v>
      </c>
    </row>
    <row r="216" spans="1:10" x14ac:dyDescent="0.3">
      <c r="A216" s="277" t="s">
        <v>533</v>
      </c>
      <c r="B216" s="278">
        <f t="shared" si="9"/>
        <v>0</v>
      </c>
      <c r="C216" s="278" t="str">
        <f t="shared" si="10"/>
        <v>Bolívar</v>
      </c>
      <c r="D216" s="278" t="str">
        <f t="shared" si="11"/>
        <v>Tiquisio, Bolívar</v>
      </c>
      <c r="E216" s="279">
        <v>13810</v>
      </c>
      <c r="F216" s="280">
        <v>0.15</v>
      </c>
      <c r="G216" s="280">
        <v>0.15</v>
      </c>
      <c r="H216" s="280" t="s">
        <v>40</v>
      </c>
      <c r="I216" s="280">
        <v>0.08</v>
      </c>
      <c r="J216" s="281">
        <v>0.05</v>
      </c>
    </row>
    <row r="217" spans="1:10" x14ac:dyDescent="0.3">
      <c r="A217" s="277" t="s">
        <v>534</v>
      </c>
      <c r="B217" s="278">
        <f t="shared" si="9"/>
        <v>0</v>
      </c>
      <c r="C217" s="278" t="str">
        <f t="shared" si="10"/>
        <v>Bolívar</v>
      </c>
      <c r="D217" s="278" t="str">
        <f t="shared" si="11"/>
        <v>Turbaco, Bolívar</v>
      </c>
      <c r="E217" s="279">
        <v>13836</v>
      </c>
      <c r="F217" s="280">
        <v>0.1</v>
      </c>
      <c r="G217" s="280">
        <v>0.1</v>
      </c>
      <c r="H217" s="280" t="s">
        <v>295</v>
      </c>
      <c r="I217" s="280">
        <v>0.05</v>
      </c>
      <c r="J217" s="281">
        <v>0.03</v>
      </c>
    </row>
    <row r="218" spans="1:10" x14ac:dyDescent="0.3">
      <c r="A218" s="277" t="s">
        <v>535</v>
      </c>
      <c r="B218" s="278">
        <f t="shared" si="9"/>
        <v>0</v>
      </c>
      <c r="C218" s="278" t="str">
        <f t="shared" si="10"/>
        <v>Bolívar</v>
      </c>
      <c r="D218" s="278" t="str">
        <f t="shared" si="11"/>
        <v>Turbaná, Bolívar</v>
      </c>
      <c r="E218" s="279">
        <v>13838</v>
      </c>
      <c r="F218" s="280">
        <v>0.1</v>
      </c>
      <c r="G218" s="280">
        <v>0.1</v>
      </c>
      <c r="H218" s="280" t="s">
        <v>295</v>
      </c>
      <c r="I218" s="280">
        <v>0.05</v>
      </c>
      <c r="J218" s="281">
        <v>0.03</v>
      </c>
    </row>
    <row r="219" spans="1:10" x14ac:dyDescent="0.3">
      <c r="A219" s="277" t="s">
        <v>536</v>
      </c>
      <c r="B219" s="278">
        <f t="shared" si="9"/>
        <v>0</v>
      </c>
      <c r="C219" s="278" t="str">
        <f t="shared" si="10"/>
        <v>Bolívar</v>
      </c>
      <c r="D219" s="278" t="str">
        <f t="shared" si="11"/>
        <v>Villanueva, Bolívar</v>
      </c>
      <c r="E219" s="279">
        <v>13873</v>
      </c>
      <c r="F219" s="280">
        <v>0.1</v>
      </c>
      <c r="G219" s="280">
        <v>0.1</v>
      </c>
      <c r="H219" s="280" t="s">
        <v>295</v>
      </c>
      <c r="I219" s="280">
        <v>0.05</v>
      </c>
      <c r="J219" s="281">
        <v>0.03</v>
      </c>
    </row>
    <row r="220" spans="1:10" ht="17.25" thickBot="1" x14ac:dyDescent="0.35">
      <c r="A220" s="294" t="s">
        <v>537</v>
      </c>
      <c r="B220" s="295">
        <f t="shared" si="9"/>
        <v>0</v>
      </c>
      <c r="C220" s="295" t="str">
        <f t="shared" si="10"/>
        <v>Bolívar</v>
      </c>
      <c r="D220" s="295" t="str">
        <f t="shared" si="11"/>
        <v>Zambrano, Bolívar</v>
      </c>
      <c r="E220" s="296">
        <v>13894</v>
      </c>
      <c r="F220" s="297">
        <v>0.1</v>
      </c>
      <c r="G220" s="297">
        <v>0.1</v>
      </c>
      <c r="H220" s="297" t="s">
        <v>295</v>
      </c>
      <c r="I220" s="297">
        <v>0.06</v>
      </c>
      <c r="J220" s="298">
        <v>0.03</v>
      </c>
    </row>
    <row r="221" spans="1:10" ht="17.25" thickBot="1" x14ac:dyDescent="0.35">
      <c r="A221" s="299" t="s">
        <v>538</v>
      </c>
      <c r="B221" s="300">
        <f t="shared" si="9"/>
        <v>1</v>
      </c>
      <c r="C221" s="300" t="str">
        <f t="shared" si="10"/>
        <v>Boyacá</v>
      </c>
      <c r="D221" s="300" t="str">
        <f t="shared" si="11"/>
        <v/>
      </c>
      <c r="E221" s="301"/>
      <c r="F221" s="302"/>
      <c r="G221" s="302"/>
      <c r="H221" s="302"/>
      <c r="I221" s="302"/>
      <c r="J221" s="303"/>
    </row>
    <row r="222" spans="1:10" x14ac:dyDescent="0.3">
      <c r="A222" s="304" t="s">
        <v>539</v>
      </c>
      <c r="B222" s="305">
        <f t="shared" si="9"/>
        <v>0</v>
      </c>
      <c r="C222" s="305" t="str">
        <f t="shared" si="10"/>
        <v>Boyacá</v>
      </c>
      <c r="D222" s="305" t="str">
        <f t="shared" si="11"/>
        <v>Tunja, Boyacá</v>
      </c>
      <c r="E222" s="306">
        <v>15001</v>
      </c>
      <c r="F222" s="307">
        <v>0.2</v>
      </c>
      <c r="G222" s="307">
        <v>0.2</v>
      </c>
      <c r="H222" s="307" t="s">
        <v>40</v>
      </c>
      <c r="I222" s="307">
        <v>0.15</v>
      </c>
      <c r="J222" s="308">
        <v>7.0000000000000007E-2</v>
      </c>
    </row>
    <row r="223" spans="1:10" x14ac:dyDescent="0.3">
      <c r="A223" s="277" t="s">
        <v>540</v>
      </c>
      <c r="B223" s="278">
        <f t="shared" si="9"/>
        <v>0</v>
      </c>
      <c r="C223" s="278" t="str">
        <f t="shared" si="10"/>
        <v>Boyacá</v>
      </c>
      <c r="D223" s="278" t="str">
        <f t="shared" si="11"/>
        <v>Almeida, Boyacá</v>
      </c>
      <c r="E223" s="279">
        <v>15022</v>
      </c>
      <c r="F223" s="280">
        <v>0.25</v>
      </c>
      <c r="G223" s="280">
        <v>0.25</v>
      </c>
      <c r="H223" s="280" t="s">
        <v>322</v>
      </c>
      <c r="I223" s="280">
        <v>0.16</v>
      </c>
      <c r="J223" s="281">
        <v>0.08</v>
      </c>
    </row>
    <row r="224" spans="1:10" x14ac:dyDescent="0.3">
      <c r="A224" s="277" t="s">
        <v>541</v>
      </c>
      <c r="B224" s="278">
        <f t="shared" si="9"/>
        <v>0</v>
      </c>
      <c r="C224" s="278" t="str">
        <f t="shared" si="10"/>
        <v>Boyacá</v>
      </c>
      <c r="D224" s="278" t="str">
        <f t="shared" si="11"/>
        <v>Aquitania, Boyacá</v>
      </c>
      <c r="E224" s="279">
        <v>15047</v>
      </c>
      <c r="F224" s="280">
        <v>0.25</v>
      </c>
      <c r="G224" s="280">
        <v>0.3</v>
      </c>
      <c r="H224" s="280" t="s">
        <v>322</v>
      </c>
      <c r="I224" s="280">
        <v>0.16</v>
      </c>
      <c r="J224" s="281">
        <v>0.08</v>
      </c>
    </row>
    <row r="225" spans="1:10" x14ac:dyDescent="0.3">
      <c r="A225" s="277" t="s">
        <v>542</v>
      </c>
      <c r="B225" s="278">
        <f t="shared" si="9"/>
        <v>0</v>
      </c>
      <c r="C225" s="278" t="str">
        <f t="shared" si="10"/>
        <v>Boyacá</v>
      </c>
      <c r="D225" s="278" t="str">
        <f t="shared" si="11"/>
        <v>Arcabuco, Boyacá</v>
      </c>
      <c r="E225" s="279">
        <v>15051</v>
      </c>
      <c r="F225" s="280">
        <v>0.2</v>
      </c>
      <c r="G225" s="280">
        <v>0.2</v>
      </c>
      <c r="H225" s="280" t="s">
        <v>40</v>
      </c>
      <c r="I225" s="280">
        <v>0.09</v>
      </c>
      <c r="J225" s="281">
        <v>0.05</v>
      </c>
    </row>
    <row r="226" spans="1:10" x14ac:dyDescent="0.3">
      <c r="A226" s="277" t="s">
        <v>543</v>
      </c>
      <c r="B226" s="278">
        <f t="shared" si="9"/>
        <v>0</v>
      </c>
      <c r="C226" s="278" t="str">
        <f t="shared" si="10"/>
        <v>Boyacá</v>
      </c>
      <c r="D226" s="278" t="str">
        <f t="shared" si="11"/>
        <v>Belén, Boyacá</v>
      </c>
      <c r="E226" s="279">
        <v>15087</v>
      </c>
      <c r="F226" s="280">
        <v>0.25</v>
      </c>
      <c r="G226" s="280">
        <v>0.25</v>
      </c>
      <c r="H226" s="280" t="s">
        <v>322</v>
      </c>
      <c r="I226" s="280">
        <v>0.16</v>
      </c>
      <c r="J226" s="281">
        <v>0.08</v>
      </c>
    </row>
    <row r="227" spans="1:10" x14ac:dyDescent="0.3">
      <c r="A227" s="277" t="s">
        <v>544</v>
      </c>
      <c r="B227" s="278">
        <f t="shared" si="9"/>
        <v>0</v>
      </c>
      <c r="C227" s="278" t="str">
        <f t="shared" si="10"/>
        <v>Boyacá</v>
      </c>
      <c r="D227" s="278" t="str">
        <f t="shared" si="11"/>
        <v>Berbeo, Boyacá</v>
      </c>
      <c r="E227" s="279">
        <v>15090</v>
      </c>
      <c r="F227" s="280">
        <v>0.25</v>
      </c>
      <c r="G227" s="280">
        <v>0.25</v>
      </c>
      <c r="H227" s="280" t="s">
        <v>322</v>
      </c>
      <c r="I227" s="280">
        <v>0.16</v>
      </c>
      <c r="J227" s="281">
        <v>0.08</v>
      </c>
    </row>
    <row r="228" spans="1:10" x14ac:dyDescent="0.3">
      <c r="A228" s="277" t="s">
        <v>545</v>
      </c>
      <c r="B228" s="278">
        <f t="shared" si="9"/>
        <v>0</v>
      </c>
      <c r="C228" s="278" t="str">
        <f t="shared" si="10"/>
        <v>Boyacá</v>
      </c>
      <c r="D228" s="278" t="str">
        <f t="shared" si="11"/>
        <v>Beteitiva, Boyacá</v>
      </c>
      <c r="E228" s="279">
        <v>15092</v>
      </c>
      <c r="F228" s="280">
        <v>0.25</v>
      </c>
      <c r="G228" s="280">
        <v>0.25</v>
      </c>
      <c r="H228" s="280" t="s">
        <v>322</v>
      </c>
      <c r="I228" s="280">
        <v>0.16</v>
      </c>
      <c r="J228" s="281">
        <v>0.08</v>
      </c>
    </row>
    <row r="229" spans="1:10" x14ac:dyDescent="0.3">
      <c r="A229" s="277" t="s">
        <v>546</v>
      </c>
      <c r="B229" s="278">
        <f t="shared" si="9"/>
        <v>0</v>
      </c>
      <c r="C229" s="278" t="str">
        <f t="shared" si="10"/>
        <v>Boyacá</v>
      </c>
      <c r="D229" s="278" t="str">
        <f t="shared" si="11"/>
        <v>Boavita, Boyacá</v>
      </c>
      <c r="E229" s="279">
        <v>15097</v>
      </c>
      <c r="F229" s="280">
        <v>0.25</v>
      </c>
      <c r="G229" s="280">
        <v>0.25</v>
      </c>
      <c r="H229" s="280" t="s">
        <v>322</v>
      </c>
      <c r="I229" s="280">
        <v>0.16</v>
      </c>
      <c r="J229" s="281">
        <v>0.08</v>
      </c>
    </row>
    <row r="230" spans="1:10" x14ac:dyDescent="0.3">
      <c r="A230" s="277" t="s">
        <v>302</v>
      </c>
      <c r="B230" s="278">
        <f t="shared" si="9"/>
        <v>0</v>
      </c>
      <c r="C230" s="278" t="str">
        <f t="shared" si="10"/>
        <v>Boyacá</v>
      </c>
      <c r="D230" s="278" t="str">
        <f t="shared" si="11"/>
        <v>Boyacá, Boyacá</v>
      </c>
      <c r="E230" s="279">
        <v>15104</v>
      </c>
      <c r="F230" s="280">
        <v>0.2</v>
      </c>
      <c r="G230" s="280">
        <v>0.2</v>
      </c>
      <c r="H230" s="280" t="s">
        <v>40</v>
      </c>
      <c r="I230" s="280">
        <v>0.14000000000000001</v>
      </c>
      <c r="J230" s="281">
        <v>0.06</v>
      </c>
    </row>
    <row r="231" spans="1:10" x14ac:dyDescent="0.3">
      <c r="A231" s="277" t="s">
        <v>358</v>
      </c>
      <c r="B231" s="278">
        <f t="shared" si="9"/>
        <v>0</v>
      </c>
      <c r="C231" s="278" t="str">
        <f t="shared" si="10"/>
        <v>Boyacá</v>
      </c>
      <c r="D231" s="278" t="str">
        <f t="shared" si="11"/>
        <v>Briceño, Boyacá</v>
      </c>
      <c r="E231" s="279">
        <v>15106</v>
      </c>
      <c r="F231" s="280">
        <v>0.15</v>
      </c>
      <c r="G231" s="280">
        <v>0.15</v>
      </c>
      <c r="H231" s="280" t="s">
        <v>40</v>
      </c>
      <c r="I231" s="280">
        <v>0.12</v>
      </c>
      <c r="J231" s="281">
        <v>7.0000000000000007E-2</v>
      </c>
    </row>
    <row r="232" spans="1:10" x14ac:dyDescent="0.3">
      <c r="A232" s="277" t="s">
        <v>547</v>
      </c>
      <c r="B232" s="278">
        <f t="shared" si="9"/>
        <v>0</v>
      </c>
      <c r="C232" s="278" t="str">
        <f t="shared" si="10"/>
        <v>Boyacá</v>
      </c>
      <c r="D232" s="278" t="str">
        <f t="shared" si="11"/>
        <v>Buenavista, Boyacá</v>
      </c>
      <c r="E232" s="279">
        <v>15109</v>
      </c>
      <c r="F232" s="280">
        <v>0.15</v>
      </c>
      <c r="G232" s="280">
        <v>0.15</v>
      </c>
      <c r="H232" s="280" t="s">
        <v>40</v>
      </c>
      <c r="I232" s="280">
        <v>0.11</v>
      </c>
      <c r="J232" s="281">
        <v>0.06</v>
      </c>
    </row>
    <row r="233" spans="1:10" x14ac:dyDescent="0.3">
      <c r="A233" s="277" t="s">
        <v>548</v>
      </c>
      <c r="B233" s="278">
        <f t="shared" si="9"/>
        <v>0</v>
      </c>
      <c r="C233" s="278" t="str">
        <f t="shared" si="10"/>
        <v>Boyacá</v>
      </c>
      <c r="D233" s="278" t="str">
        <f t="shared" si="11"/>
        <v>Busbanzá, Boyacá</v>
      </c>
      <c r="E233" s="279">
        <v>15114</v>
      </c>
      <c r="F233" s="280">
        <v>0.25</v>
      </c>
      <c r="G233" s="280">
        <v>0.25</v>
      </c>
      <c r="H233" s="280" t="s">
        <v>322</v>
      </c>
      <c r="I233" s="280">
        <v>0.16</v>
      </c>
      <c r="J233" s="281">
        <v>0.08</v>
      </c>
    </row>
    <row r="234" spans="1:10" x14ac:dyDescent="0.3">
      <c r="A234" s="277" t="s">
        <v>304</v>
      </c>
      <c r="B234" s="278">
        <f t="shared" si="9"/>
        <v>0</v>
      </c>
      <c r="C234" s="278" t="str">
        <f t="shared" si="10"/>
        <v>Boyacá</v>
      </c>
      <c r="D234" s="278" t="str">
        <f t="shared" si="11"/>
        <v>Caldas, Boyacá</v>
      </c>
      <c r="E234" s="279">
        <v>15131</v>
      </c>
      <c r="F234" s="280">
        <v>0.15</v>
      </c>
      <c r="G234" s="280">
        <v>0.15</v>
      </c>
      <c r="H234" s="280" t="s">
        <v>40</v>
      </c>
      <c r="I234" s="280">
        <v>0.11</v>
      </c>
      <c r="J234" s="281">
        <v>0.06</v>
      </c>
    </row>
    <row r="235" spans="1:10" x14ac:dyDescent="0.3">
      <c r="A235" s="277" t="s">
        <v>549</v>
      </c>
      <c r="B235" s="278">
        <f t="shared" si="9"/>
        <v>0</v>
      </c>
      <c r="C235" s="278" t="str">
        <f t="shared" si="10"/>
        <v>Boyacá</v>
      </c>
      <c r="D235" s="278" t="str">
        <f t="shared" si="11"/>
        <v>Campohermoso, Boyacá</v>
      </c>
      <c r="E235" s="279">
        <v>15135</v>
      </c>
      <c r="F235" s="280">
        <v>0.3</v>
      </c>
      <c r="G235" s="280">
        <v>0.25</v>
      </c>
      <c r="H235" s="280" t="s">
        <v>322</v>
      </c>
      <c r="I235" s="280">
        <v>0.16</v>
      </c>
      <c r="J235" s="281">
        <v>0.08</v>
      </c>
    </row>
    <row r="236" spans="1:10" x14ac:dyDescent="0.3">
      <c r="A236" s="277" t="s">
        <v>550</v>
      </c>
      <c r="B236" s="278">
        <f t="shared" si="9"/>
        <v>0</v>
      </c>
      <c r="C236" s="278" t="str">
        <f t="shared" si="10"/>
        <v>Boyacá</v>
      </c>
      <c r="D236" s="278" t="str">
        <f t="shared" si="11"/>
        <v>Cerinza, Boyacá</v>
      </c>
      <c r="E236" s="279">
        <v>15162</v>
      </c>
      <c r="F236" s="280">
        <v>0.2</v>
      </c>
      <c r="G236" s="280">
        <v>0.25</v>
      </c>
      <c r="H236" s="280" t="s">
        <v>322</v>
      </c>
      <c r="I236" s="280">
        <v>0.15</v>
      </c>
      <c r="J236" s="281">
        <v>7.0000000000000007E-2</v>
      </c>
    </row>
    <row r="237" spans="1:10" x14ac:dyDescent="0.3">
      <c r="A237" s="277" t="s">
        <v>551</v>
      </c>
      <c r="B237" s="278">
        <f t="shared" si="9"/>
        <v>0</v>
      </c>
      <c r="C237" s="278" t="str">
        <f t="shared" si="10"/>
        <v>Boyacá</v>
      </c>
      <c r="D237" s="278" t="str">
        <f t="shared" si="11"/>
        <v>Chinavita, Boyacá</v>
      </c>
      <c r="E237" s="279">
        <v>15172</v>
      </c>
      <c r="F237" s="280">
        <v>0.2</v>
      </c>
      <c r="G237" s="280">
        <v>0.25</v>
      </c>
      <c r="H237" s="280" t="s">
        <v>322</v>
      </c>
      <c r="I237" s="280">
        <v>0.16</v>
      </c>
      <c r="J237" s="281">
        <v>0.08</v>
      </c>
    </row>
    <row r="238" spans="1:10" x14ac:dyDescent="0.3">
      <c r="A238" s="277" t="s">
        <v>552</v>
      </c>
      <c r="B238" s="278">
        <f t="shared" si="9"/>
        <v>0</v>
      </c>
      <c r="C238" s="278" t="str">
        <f t="shared" si="10"/>
        <v>Boyacá</v>
      </c>
      <c r="D238" s="278" t="str">
        <f t="shared" si="11"/>
        <v>Chiquinquirá, Boyacá</v>
      </c>
      <c r="E238" s="279">
        <v>15176</v>
      </c>
      <c r="F238" s="280">
        <v>0.15</v>
      </c>
      <c r="G238" s="280">
        <v>0.2</v>
      </c>
      <c r="H238" s="280" t="s">
        <v>40</v>
      </c>
      <c r="I238" s="280">
        <v>0.1</v>
      </c>
      <c r="J238" s="281">
        <v>0.06</v>
      </c>
    </row>
    <row r="239" spans="1:10" x14ac:dyDescent="0.3">
      <c r="A239" s="277" t="s">
        <v>553</v>
      </c>
      <c r="B239" s="278">
        <f t="shared" si="9"/>
        <v>0</v>
      </c>
      <c r="C239" s="278" t="str">
        <f t="shared" si="10"/>
        <v>Boyacá</v>
      </c>
      <c r="D239" s="278" t="str">
        <f t="shared" si="11"/>
        <v>Chíquiza, Boyacá</v>
      </c>
      <c r="E239" s="279">
        <v>15232</v>
      </c>
      <c r="F239" s="280">
        <v>0.2</v>
      </c>
      <c r="G239" s="280">
        <v>0.2</v>
      </c>
      <c r="H239" s="280" t="s">
        <v>40</v>
      </c>
      <c r="I239" s="280">
        <v>0.1</v>
      </c>
      <c r="J239" s="281">
        <v>0.05</v>
      </c>
    </row>
    <row r="240" spans="1:10" x14ac:dyDescent="0.3">
      <c r="A240" s="277" t="s">
        <v>554</v>
      </c>
      <c r="B240" s="278">
        <f t="shared" si="9"/>
        <v>0</v>
      </c>
      <c r="C240" s="278" t="str">
        <f t="shared" si="10"/>
        <v>Boyacá</v>
      </c>
      <c r="D240" s="278" t="str">
        <f t="shared" si="11"/>
        <v>Chiscas, Boyacá</v>
      </c>
      <c r="E240" s="279">
        <v>15180</v>
      </c>
      <c r="F240" s="280">
        <v>0.25</v>
      </c>
      <c r="G240" s="280">
        <v>0.3</v>
      </c>
      <c r="H240" s="280" t="s">
        <v>322</v>
      </c>
      <c r="I240" s="280">
        <v>0.16</v>
      </c>
      <c r="J240" s="281">
        <v>0.08</v>
      </c>
    </row>
    <row r="241" spans="1:10" x14ac:dyDescent="0.3">
      <c r="A241" s="277" t="s">
        <v>555</v>
      </c>
      <c r="B241" s="278">
        <f t="shared" si="9"/>
        <v>0</v>
      </c>
      <c r="C241" s="278" t="str">
        <f t="shared" si="10"/>
        <v>Boyacá</v>
      </c>
      <c r="D241" s="278" t="str">
        <f t="shared" si="11"/>
        <v>Chita, Boyacá</v>
      </c>
      <c r="E241" s="279">
        <v>15183</v>
      </c>
      <c r="F241" s="280">
        <v>0.25</v>
      </c>
      <c r="G241" s="280">
        <v>0.3</v>
      </c>
      <c r="H241" s="280" t="s">
        <v>322</v>
      </c>
      <c r="I241" s="280">
        <v>0.16</v>
      </c>
      <c r="J241" s="281">
        <v>0.08</v>
      </c>
    </row>
    <row r="242" spans="1:10" x14ac:dyDescent="0.3">
      <c r="A242" s="277" t="s">
        <v>556</v>
      </c>
      <c r="B242" s="278">
        <f t="shared" si="9"/>
        <v>0</v>
      </c>
      <c r="C242" s="278" t="str">
        <f t="shared" si="10"/>
        <v>Boyacá</v>
      </c>
      <c r="D242" s="278" t="str">
        <f t="shared" si="11"/>
        <v>Chitaraque, Boyacá</v>
      </c>
      <c r="E242" s="279">
        <v>15185</v>
      </c>
      <c r="F242" s="280">
        <v>0.15</v>
      </c>
      <c r="G242" s="280">
        <v>0.2</v>
      </c>
      <c r="H242" s="280" t="s">
        <v>40</v>
      </c>
      <c r="I242" s="280">
        <v>0.1</v>
      </c>
      <c r="J242" s="281">
        <v>0.06</v>
      </c>
    </row>
    <row r="243" spans="1:10" x14ac:dyDescent="0.3">
      <c r="A243" s="277" t="s">
        <v>557</v>
      </c>
      <c r="B243" s="278">
        <f t="shared" si="9"/>
        <v>0</v>
      </c>
      <c r="C243" s="278" t="str">
        <f t="shared" si="10"/>
        <v>Boyacá</v>
      </c>
      <c r="D243" s="278" t="str">
        <f t="shared" si="11"/>
        <v>Chivatá, Boyacá</v>
      </c>
      <c r="E243" s="279">
        <v>15187</v>
      </c>
      <c r="F243" s="280">
        <v>0.15</v>
      </c>
      <c r="G243" s="280">
        <v>0.25</v>
      </c>
      <c r="H243" s="280" t="s">
        <v>322</v>
      </c>
      <c r="I243" s="280">
        <v>0.14000000000000001</v>
      </c>
      <c r="J243" s="281">
        <v>7.0000000000000007E-2</v>
      </c>
    </row>
    <row r="244" spans="1:10" x14ac:dyDescent="0.3">
      <c r="A244" s="277" t="s">
        <v>558</v>
      </c>
      <c r="B244" s="278">
        <f t="shared" si="9"/>
        <v>0</v>
      </c>
      <c r="C244" s="278" t="str">
        <f t="shared" si="10"/>
        <v>Boyacá</v>
      </c>
      <c r="D244" s="278" t="str">
        <f t="shared" si="11"/>
        <v>Chivor, Boyacá</v>
      </c>
      <c r="E244" s="279">
        <v>15236</v>
      </c>
      <c r="F244" s="280">
        <v>0.25</v>
      </c>
      <c r="G244" s="280">
        <v>0.25</v>
      </c>
      <c r="H244" s="280" t="s">
        <v>322</v>
      </c>
      <c r="I244" s="280">
        <v>0.16</v>
      </c>
      <c r="J244" s="281">
        <v>0.08</v>
      </c>
    </row>
    <row r="245" spans="1:10" x14ac:dyDescent="0.3">
      <c r="A245" s="277" t="s">
        <v>559</v>
      </c>
      <c r="B245" s="278">
        <f t="shared" si="9"/>
        <v>0</v>
      </c>
      <c r="C245" s="278" t="str">
        <f t="shared" si="10"/>
        <v>Boyacá</v>
      </c>
      <c r="D245" s="278" t="str">
        <f t="shared" si="11"/>
        <v>Ciénega, Boyacá</v>
      </c>
      <c r="E245" s="279">
        <v>15189</v>
      </c>
      <c r="F245" s="280">
        <v>0.2</v>
      </c>
      <c r="G245" s="280">
        <v>0.25</v>
      </c>
      <c r="H245" s="280" t="s">
        <v>322</v>
      </c>
      <c r="I245" s="280">
        <v>0.16</v>
      </c>
      <c r="J245" s="281">
        <v>0.08</v>
      </c>
    </row>
    <row r="246" spans="1:10" x14ac:dyDescent="0.3">
      <c r="A246" s="277" t="s">
        <v>560</v>
      </c>
      <c r="B246" s="278">
        <f t="shared" si="9"/>
        <v>0</v>
      </c>
      <c r="C246" s="278" t="str">
        <f t="shared" si="10"/>
        <v>Boyacá</v>
      </c>
      <c r="D246" s="278" t="str">
        <f t="shared" si="11"/>
        <v>Cómbita, Boyacá</v>
      </c>
      <c r="E246" s="279">
        <v>15204</v>
      </c>
      <c r="F246" s="280">
        <v>0.2</v>
      </c>
      <c r="G246" s="280">
        <v>0.2</v>
      </c>
      <c r="H246" s="280" t="s">
        <v>40</v>
      </c>
      <c r="I246" s="280">
        <v>0.11</v>
      </c>
      <c r="J246" s="281">
        <v>0.05</v>
      </c>
    </row>
    <row r="247" spans="1:10" x14ac:dyDescent="0.3">
      <c r="A247" s="277" t="s">
        <v>561</v>
      </c>
      <c r="B247" s="278">
        <f t="shared" si="9"/>
        <v>0</v>
      </c>
      <c r="C247" s="278" t="str">
        <f t="shared" si="10"/>
        <v>Boyacá</v>
      </c>
      <c r="D247" s="278" t="str">
        <f t="shared" si="11"/>
        <v>Coper, Boyacá</v>
      </c>
      <c r="E247" s="279">
        <v>15212</v>
      </c>
      <c r="F247" s="280">
        <v>0.15</v>
      </c>
      <c r="G247" s="280">
        <v>0.15</v>
      </c>
      <c r="H247" s="280" t="s">
        <v>40</v>
      </c>
      <c r="I247" s="280">
        <v>0.11</v>
      </c>
      <c r="J247" s="281">
        <v>0.06</v>
      </c>
    </row>
    <row r="248" spans="1:10" x14ac:dyDescent="0.3">
      <c r="A248" s="277" t="s">
        <v>562</v>
      </c>
      <c r="B248" s="278">
        <f t="shared" si="9"/>
        <v>0</v>
      </c>
      <c r="C248" s="278" t="str">
        <f t="shared" si="10"/>
        <v>Boyacá</v>
      </c>
      <c r="D248" s="278" t="str">
        <f t="shared" si="11"/>
        <v>Corrales, Boyacá</v>
      </c>
      <c r="E248" s="279">
        <v>15215</v>
      </c>
      <c r="F248" s="280">
        <v>0.25</v>
      </c>
      <c r="G248" s="280">
        <v>0.25</v>
      </c>
      <c r="H248" s="280" t="s">
        <v>322</v>
      </c>
      <c r="I248" s="280">
        <v>0.16</v>
      </c>
      <c r="J248" s="281">
        <v>0.08</v>
      </c>
    </row>
    <row r="249" spans="1:10" x14ac:dyDescent="0.3">
      <c r="A249" s="277" t="s">
        <v>563</v>
      </c>
      <c r="B249" s="278">
        <f t="shared" si="9"/>
        <v>0</v>
      </c>
      <c r="C249" s="278" t="str">
        <f t="shared" si="10"/>
        <v>Boyacá</v>
      </c>
      <c r="D249" s="278" t="str">
        <f t="shared" si="11"/>
        <v>Covarachia, Boyacá</v>
      </c>
      <c r="E249" s="279">
        <v>15218</v>
      </c>
      <c r="F249" s="280">
        <v>0.2</v>
      </c>
      <c r="G249" s="280">
        <v>0.25</v>
      </c>
      <c r="H249" s="280" t="s">
        <v>322</v>
      </c>
      <c r="I249" s="280">
        <v>0.14000000000000001</v>
      </c>
      <c r="J249" s="281">
        <v>7.0000000000000007E-2</v>
      </c>
    </row>
    <row r="250" spans="1:10" x14ac:dyDescent="0.3">
      <c r="A250" s="277" t="s">
        <v>564</v>
      </c>
      <c r="B250" s="278">
        <f t="shared" si="9"/>
        <v>0</v>
      </c>
      <c r="C250" s="278" t="str">
        <f t="shared" si="10"/>
        <v>Boyacá</v>
      </c>
      <c r="D250" s="278" t="str">
        <f t="shared" si="11"/>
        <v>Cubará, Boyacá</v>
      </c>
      <c r="E250" s="279">
        <v>15223</v>
      </c>
      <c r="F250" s="280">
        <v>0.3</v>
      </c>
      <c r="G250" s="280">
        <v>0.3</v>
      </c>
      <c r="H250" s="280" t="s">
        <v>322</v>
      </c>
      <c r="I250" s="280">
        <v>0.16</v>
      </c>
      <c r="J250" s="281">
        <v>0.08</v>
      </c>
    </row>
    <row r="251" spans="1:10" x14ac:dyDescent="0.3">
      <c r="A251" s="277" t="s">
        <v>565</v>
      </c>
      <c r="B251" s="278">
        <f t="shared" si="9"/>
        <v>0</v>
      </c>
      <c r="C251" s="278" t="str">
        <f t="shared" si="10"/>
        <v>Boyacá</v>
      </c>
      <c r="D251" s="278" t="str">
        <f t="shared" si="11"/>
        <v>Cucaita, Boyacá</v>
      </c>
      <c r="E251" s="279">
        <v>15224</v>
      </c>
      <c r="F251" s="280">
        <v>0.2</v>
      </c>
      <c r="G251" s="280">
        <v>0.2</v>
      </c>
      <c r="H251" s="280" t="s">
        <v>40</v>
      </c>
      <c r="I251" s="280">
        <v>0.11</v>
      </c>
      <c r="J251" s="281">
        <v>0.05</v>
      </c>
    </row>
    <row r="252" spans="1:10" x14ac:dyDescent="0.3">
      <c r="A252" s="277" t="s">
        <v>566</v>
      </c>
      <c r="B252" s="278">
        <f t="shared" si="9"/>
        <v>0</v>
      </c>
      <c r="C252" s="278" t="str">
        <f t="shared" si="10"/>
        <v>Boyacá</v>
      </c>
      <c r="D252" s="278" t="str">
        <f t="shared" si="11"/>
        <v>Cuitiva, Boyacá</v>
      </c>
      <c r="E252" s="279">
        <v>15226</v>
      </c>
      <c r="F252" s="280">
        <v>0.25</v>
      </c>
      <c r="G252" s="280">
        <v>0.25</v>
      </c>
      <c r="H252" s="280" t="s">
        <v>322</v>
      </c>
      <c r="I252" s="280">
        <v>0.16</v>
      </c>
      <c r="J252" s="281">
        <v>0.08</v>
      </c>
    </row>
    <row r="253" spans="1:10" x14ac:dyDescent="0.3">
      <c r="A253" s="277" t="s">
        <v>567</v>
      </c>
      <c r="B253" s="278">
        <f t="shared" si="9"/>
        <v>0</v>
      </c>
      <c r="C253" s="278" t="str">
        <f t="shared" si="10"/>
        <v>Boyacá</v>
      </c>
      <c r="D253" s="278" t="str">
        <f t="shared" si="11"/>
        <v>Duitama, Boyacá</v>
      </c>
      <c r="E253" s="279">
        <v>15238</v>
      </c>
      <c r="F253" s="280">
        <v>0.2</v>
      </c>
      <c r="G253" s="280">
        <v>0.25</v>
      </c>
      <c r="H253" s="280" t="s">
        <v>322</v>
      </c>
      <c r="I253" s="280">
        <v>0.14000000000000001</v>
      </c>
      <c r="J253" s="281">
        <v>7.0000000000000007E-2</v>
      </c>
    </row>
    <row r="254" spans="1:10" x14ac:dyDescent="0.3">
      <c r="A254" s="277" t="s">
        <v>568</v>
      </c>
      <c r="B254" s="278">
        <f t="shared" si="9"/>
        <v>0</v>
      </c>
      <c r="C254" s="278" t="str">
        <f t="shared" si="10"/>
        <v>Boyacá</v>
      </c>
      <c r="D254" s="278" t="str">
        <f t="shared" si="11"/>
        <v>El Cocuy, Boyacá</v>
      </c>
      <c r="E254" s="279">
        <v>15244</v>
      </c>
      <c r="F254" s="280">
        <v>0.25</v>
      </c>
      <c r="G254" s="280">
        <v>0.3</v>
      </c>
      <c r="H254" s="280" t="s">
        <v>322</v>
      </c>
      <c r="I254" s="280">
        <v>0.22</v>
      </c>
      <c r="J254" s="281">
        <v>0.08</v>
      </c>
    </row>
    <row r="255" spans="1:10" x14ac:dyDescent="0.3">
      <c r="A255" s="277" t="s">
        <v>569</v>
      </c>
      <c r="B255" s="278">
        <f t="shared" si="9"/>
        <v>0</v>
      </c>
      <c r="C255" s="278" t="str">
        <f t="shared" si="10"/>
        <v>Boyacá</v>
      </c>
      <c r="D255" s="278" t="str">
        <f t="shared" si="11"/>
        <v>El Espino, Boyacá</v>
      </c>
      <c r="E255" s="279">
        <v>15248</v>
      </c>
      <c r="F255" s="280">
        <v>0.25</v>
      </c>
      <c r="G255" s="280">
        <v>0.3</v>
      </c>
      <c r="H255" s="280" t="s">
        <v>322</v>
      </c>
      <c r="I255" s="280">
        <v>0.16</v>
      </c>
      <c r="J255" s="281">
        <v>0.08</v>
      </c>
    </row>
    <row r="256" spans="1:10" x14ac:dyDescent="0.3">
      <c r="A256" s="277" t="s">
        <v>570</v>
      </c>
      <c r="B256" s="278">
        <f t="shared" si="9"/>
        <v>0</v>
      </c>
      <c r="C256" s="278" t="str">
        <f t="shared" si="10"/>
        <v>Boyacá</v>
      </c>
      <c r="D256" s="278" t="str">
        <f t="shared" si="11"/>
        <v>Firavitoba, Boyacá</v>
      </c>
      <c r="E256" s="279">
        <v>15272</v>
      </c>
      <c r="F256" s="280">
        <v>0.2</v>
      </c>
      <c r="G256" s="280">
        <v>0.25</v>
      </c>
      <c r="H256" s="280" t="s">
        <v>322</v>
      </c>
      <c r="I256" s="280">
        <v>0.16</v>
      </c>
      <c r="J256" s="281">
        <v>0.08</v>
      </c>
    </row>
    <row r="257" spans="1:10" x14ac:dyDescent="0.3">
      <c r="A257" s="277" t="s">
        <v>571</v>
      </c>
      <c r="B257" s="278">
        <f t="shared" si="9"/>
        <v>0</v>
      </c>
      <c r="C257" s="278" t="str">
        <f t="shared" si="10"/>
        <v>Boyacá</v>
      </c>
      <c r="D257" s="278" t="str">
        <f t="shared" si="11"/>
        <v>Floresta, Boyacá</v>
      </c>
      <c r="E257" s="279">
        <v>15276</v>
      </c>
      <c r="F257" s="280">
        <v>0.25</v>
      </c>
      <c r="G257" s="280">
        <v>0.25</v>
      </c>
      <c r="H257" s="280" t="s">
        <v>322</v>
      </c>
      <c r="I257" s="280">
        <v>0.16</v>
      </c>
      <c r="J257" s="281">
        <v>0.08</v>
      </c>
    </row>
    <row r="258" spans="1:10" x14ac:dyDescent="0.3">
      <c r="A258" s="277" t="s">
        <v>572</v>
      </c>
      <c r="B258" s="278">
        <f t="shared" si="9"/>
        <v>0</v>
      </c>
      <c r="C258" s="278" t="str">
        <f t="shared" si="10"/>
        <v>Boyacá</v>
      </c>
      <c r="D258" s="278" t="str">
        <f t="shared" si="11"/>
        <v>Gachantiva, Boyacá</v>
      </c>
      <c r="E258" s="279">
        <v>15293</v>
      </c>
      <c r="F258" s="280">
        <v>0.15</v>
      </c>
      <c r="G258" s="280">
        <v>0.2</v>
      </c>
      <c r="H258" s="280" t="s">
        <v>40</v>
      </c>
      <c r="I258" s="280">
        <v>0.09</v>
      </c>
      <c r="J258" s="281">
        <v>0.05</v>
      </c>
    </row>
    <row r="259" spans="1:10" x14ac:dyDescent="0.3">
      <c r="A259" s="277" t="s">
        <v>573</v>
      </c>
      <c r="B259" s="278">
        <f t="shared" ref="B259:B322" si="12">IFERROR(FIND("Departamento",A259),0)</f>
        <v>0</v>
      </c>
      <c r="C259" s="278" t="str">
        <f t="shared" ref="C259:C322" si="13">IF(B259=1,IF(ISERROR(FIND("del",A259)),MID(A259,17,30),MID(A259,18,30)),C258)</f>
        <v>Boyacá</v>
      </c>
      <c r="D259" s="278" t="str">
        <f t="shared" ref="D259:D322" si="14">IF(B259=1,"",CONCATENATE(A259,", ",C259))</f>
        <v>Gámeza, Boyacá</v>
      </c>
      <c r="E259" s="279">
        <v>15296</v>
      </c>
      <c r="F259" s="280">
        <v>0.25</v>
      </c>
      <c r="G259" s="280">
        <v>0.25</v>
      </c>
      <c r="H259" s="280" t="s">
        <v>322</v>
      </c>
      <c r="I259" s="280">
        <v>0.16</v>
      </c>
      <c r="J259" s="281">
        <v>0.08</v>
      </c>
    </row>
    <row r="260" spans="1:10" x14ac:dyDescent="0.3">
      <c r="A260" s="277" t="s">
        <v>574</v>
      </c>
      <c r="B260" s="278">
        <f t="shared" si="12"/>
        <v>0</v>
      </c>
      <c r="C260" s="278" t="str">
        <f t="shared" si="13"/>
        <v>Boyacá</v>
      </c>
      <c r="D260" s="278" t="str">
        <f t="shared" si="14"/>
        <v>Garagoa, Boyacá</v>
      </c>
      <c r="E260" s="279">
        <v>15299</v>
      </c>
      <c r="F260" s="280">
        <v>0.25</v>
      </c>
      <c r="G260" s="293">
        <v>0.25</v>
      </c>
      <c r="H260" s="280" t="s">
        <v>322</v>
      </c>
      <c r="I260" s="280">
        <v>0.16</v>
      </c>
      <c r="J260" s="281">
        <v>0.08</v>
      </c>
    </row>
    <row r="261" spans="1:10" x14ac:dyDescent="0.3">
      <c r="A261" s="277" t="s">
        <v>575</v>
      </c>
      <c r="B261" s="278">
        <f t="shared" si="12"/>
        <v>0</v>
      </c>
      <c r="C261" s="278" t="str">
        <f t="shared" si="13"/>
        <v>Boyacá</v>
      </c>
      <c r="D261" s="278" t="str">
        <f t="shared" si="14"/>
        <v>Guacamayas, Boyacá</v>
      </c>
      <c r="E261" s="279">
        <v>15317</v>
      </c>
      <c r="F261" s="280">
        <v>0.25</v>
      </c>
      <c r="G261" s="280">
        <v>0.25</v>
      </c>
      <c r="H261" s="280" t="s">
        <v>322</v>
      </c>
      <c r="I261" s="280">
        <v>0.18</v>
      </c>
      <c r="J261" s="281">
        <v>0.08</v>
      </c>
    </row>
    <row r="262" spans="1:10" x14ac:dyDescent="0.3">
      <c r="A262" s="277" t="s">
        <v>576</v>
      </c>
      <c r="B262" s="278">
        <f t="shared" si="12"/>
        <v>0</v>
      </c>
      <c r="C262" s="278" t="str">
        <f t="shared" si="13"/>
        <v>Boyacá</v>
      </c>
      <c r="D262" s="278" t="str">
        <f t="shared" si="14"/>
        <v>Guateque, Boyacá</v>
      </c>
      <c r="E262" s="279">
        <v>15322</v>
      </c>
      <c r="F262" s="280">
        <v>0.2</v>
      </c>
      <c r="G262" s="280">
        <v>0.25</v>
      </c>
      <c r="H262" s="280" t="s">
        <v>322</v>
      </c>
      <c r="I262" s="280">
        <v>0.16</v>
      </c>
      <c r="J262" s="281">
        <v>7.0000000000000007E-2</v>
      </c>
    </row>
    <row r="263" spans="1:10" x14ac:dyDescent="0.3">
      <c r="A263" s="277" t="s">
        <v>577</v>
      </c>
      <c r="B263" s="278">
        <f t="shared" si="12"/>
        <v>0</v>
      </c>
      <c r="C263" s="278" t="str">
        <f t="shared" si="13"/>
        <v>Boyacá</v>
      </c>
      <c r="D263" s="278" t="str">
        <f t="shared" si="14"/>
        <v>Guayatá, Boyacá</v>
      </c>
      <c r="E263" s="279">
        <v>15325</v>
      </c>
      <c r="F263" s="280">
        <v>0.25</v>
      </c>
      <c r="G263" s="280">
        <v>0.25</v>
      </c>
      <c r="H263" s="280" t="s">
        <v>322</v>
      </c>
      <c r="I263" s="280">
        <v>0.16</v>
      </c>
      <c r="J263" s="281">
        <v>0.08</v>
      </c>
    </row>
    <row r="264" spans="1:10" x14ac:dyDescent="0.3">
      <c r="A264" s="277" t="s">
        <v>578</v>
      </c>
      <c r="B264" s="278">
        <f t="shared" si="12"/>
        <v>0</v>
      </c>
      <c r="C264" s="278" t="str">
        <f t="shared" si="13"/>
        <v>Boyacá</v>
      </c>
      <c r="D264" s="278" t="str">
        <f t="shared" si="14"/>
        <v>Guicán, Boyacá</v>
      </c>
      <c r="E264" s="279">
        <v>15332</v>
      </c>
      <c r="F264" s="280">
        <v>0.3</v>
      </c>
      <c r="G264" s="280">
        <v>0.3</v>
      </c>
      <c r="H264" s="280" t="s">
        <v>322</v>
      </c>
      <c r="I264" s="280">
        <v>0.16</v>
      </c>
      <c r="J264" s="281">
        <v>0.08</v>
      </c>
    </row>
    <row r="265" spans="1:10" x14ac:dyDescent="0.3">
      <c r="A265" s="277" t="s">
        <v>579</v>
      </c>
      <c r="B265" s="278">
        <f t="shared" si="12"/>
        <v>0</v>
      </c>
      <c r="C265" s="278" t="str">
        <f t="shared" si="13"/>
        <v>Boyacá</v>
      </c>
      <c r="D265" s="278" t="str">
        <f t="shared" si="14"/>
        <v>Iza, Boyacá</v>
      </c>
      <c r="E265" s="279">
        <v>15362</v>
      </c>
      <c r="F265" s="280">
        <v>0.2</v>
      </c>
      <c r="G265" s="280">
        <v>0.25</v>
      </c>
      <c r="H265" s="280" t="s">
        <v>322</v>
      </c>
      <c r="I265" s="280">
        <v>0.16</v>
      </c>
      <c r="J265" s="281">
        <v>0.08</v>
      </c>
    </row>
    <row r="266" spans="1:10" x14ac:dyDescent="0.3">
      <c r="A266" s="277" t="s">
        <v>580</v>
      </c>
      <c r="B266" s="278">
        <f t="shared" si="12"/>
        <v>0</v>
      </c>
      <c r="C266" s="278" t="str">
        <f t="shared" si="13"/>
        <v>Boyacá</v>
      </c>
      <c r="D266" s="278" t="str">
        <f t="shared" si="14"/>
        <v>Jenesano, Boyacá</v>
      </c>
      <c r="E266" s="279">
        <v>15367</v>
      </c>
      <c r="F266" s="280">
        <v>0.2</v>
      </c>
      <c r="G266" s="280">
        <v>0.25</v>
      </c>
      <c r="H266" s="280" t="s">
        <v>322</v>
      </c>
      <c r="I266" s="280">
        <v>0.15</v>
      </c>
      <c r="J266" s="281">
        <v>7.0000000000000007E-2</v>
      </c>
    </row>
    <row r="267" spans="1:10" x14ac:dyDescent="0.3">
      <c r="A267" s="277" t="s">
        <v>397</v>
      </c>
      <c r="B267" s="278">
        <f t="shared" si="12"/>
        <v>0</v>
      </c>
      <c r="C267" s="278" t="str">
        <f t="shared" si="13"/>
        <v>Boyacá</v>
      </c>
      <c r="D267" s="278" t="str">
        <f t="shared" si="14"/>
        <v>Jericó, Boyacá</v>
      </c>
      <c r="E267" s="279">
        <v>15368</v>
      </c>
      <c r="F267" s="280">
        <v>0.25</v>
      </c>
      <c r="G267" s="280">
        <v>0.25</v>
      </c>
      <c r="H267" s="280" t="s">
        <v>322</v>
      </c>
      <c r="I267" s="280">
        <v>0.16</v>
      </c>
      <c r="J267" s="281">
        <v>0.08</v>
      </c>
    </row>
    <row r="268" spans="1:10" x14ac:dyDescent="0.3">
      <c r="A268" s="277" t="s">
        <v>581</v>
      </c>
      <c r="B268" s="278">
        <f t="shared" si="12"/>
        <v>0</v>
      </c>
      <c r="C268" s="278" t="str">
        <f t="shared" si="13"/>
        <v>Boyacá</v>
      </c>
      <c r="D268" s="278" t="str">
        <f t="shared" si="14"/>
        <v>La Capilla, Boyacá</v>
      </c>
      <c r="E268" s="279">
        <v>15380</v>
      </c>
      <c r="F268" s="280">
        <v>0.2</v>
      </c>
      <c r="G268" s="280">
        <v>0.25</v>
      </c>
      <c r="H268" s="280" t="s">
        <v>322</v>
      </c>
      <c r="I268" s="280">
        <v>0.16</v>
      </c>
      <c r="J268" s="281">
        <v>7.0000000000000007E-2</v>
      </c>
    </row>
    <row r="269" spans="1:10" x14ac:dyDescent="0.3">
      <c r="A269" s="277" t="s">
        <v>582</v>
      </c>
      <c r="B269" s="278">
        <f t="shared" si="12"/>
        <v>0</v>
      </c>
      <c r="C269" s="278" t="str">
        <f t="shared" si="13"/>
        <v>Boyacá</v>
      </c>
      <c r="D269" s="278" t="str">
        <f t="shared" si="14"/>
        <v>La Uvita, Boyacá</v>
      </c>
      <c r="E269" s="279">
        <v>15403</v>
      </c>
      <c r="F269" s="280">
        <v>0.25</v>
      </c>
      <c r="G269" s="280">
        <v>0.25</v>
      </c>
      <c r="H269" s="280" t="s">
        <v>322</v>
      </c>
      <c r="I269" s="280">
        <v>0.16</v>
      </c>
      <c r="J269" s="281">
        <v>0.08</v>
      </c>
    </row>
    <row r="270" spans="1:10" x14ac:dyDescent="0.3">
      <c r="A270" s="277" t="s">
        <v>303</v>
      </c>
      <c r="B270" s="278">
        <f t="shared" si="12"/>
        <v>0</v>
      </c>
      <c r="C270" s="278" t="str">
        <f t="shared" si="13"/>
        <v>Boyacá</v>
      </c>
      <c r="D270" s="278" t="str">
        <f t="shared" si="14"/>
        <v>La Victoria, Boyacá</v>
      </c>
      <c r="E270" s="279">
        <v>15401</v>
      </c>
      <c r="F270" s="280">
        <v>0.15</v>
      </c>
      <c r="G270" s="280">
        <v>0.15</v>
      </c>
      <c r="H270" s="280" t="s">
        <v>40</v>
      </c>
      <c r="I270" s="280">
        <v>0.16</v>
      </c>
      <c r="J270" s="281">
        <v>0.08</v>
      </c>
    </row>
    <row r="271" spans="1:10" x14ac:dyDescent="0.3">
      <c r="A271" s="277" t="s">
        <v>583</v>
      </c>
      <c r="B271" s="278">
        <f t="shared" si="12"/>
        <v>0</v>
      </c>
      <c r="C271" s="278" t="str">
        <f t="shared" si="13"/>
        <v>Boyacá</v>
      </c>
      <c r="D271" s="278" t="str">
        <f t="shared" si="14"/>
        <v>Labranzagrande, Boyacá</v>
      </c>
      <c r="E271" s="279">
        <v>15377</v>
      </c>
      <c r="F271" s="280">
        <v>0.3</v>
      </c>
      <c r="G271" s="280">
        <v>0.25</v>
      </c>
      <c r="H271" s="280" t="s">
        <v>322</v>
      </c>
      <c r="I271" s="280">
        <v>0.16</v>
      </c>
      <c r="J271" s="281">
        <v>0.08</v>
      </c>
    </row>
    <row r="272" spans="1:10" x14ac:dyDescent="0.3">
      <c r="A272" s="277" t="s">
        <v>584</v>
      </c>
      <c r="B272" s="278">
        <f t="shared" si="12"/>
        <v>0</v>
      </c>
      <c r="C272" s="278" t="str">
        <f t="shared" si="13"/>
        <v>Boyacá</v>
      </c>
      <c r="D272" s="278" t="str">
        <f t="shared" si="14"/>
        <v>Macanal, Boyacá</v>
      </c>
      <c r="E272" s="279">
        <v>15425</v>
      </c>
      <c r="F272" s="280">
        <v>0.25</v>
      </c>
      <c r="G272" s="280">
        <v>0.25</v>
      </c>
      <c r="H272" s="280" t="s">
        <v>322</v>
      </c>
      <c r="I272" s="280">
        <v>0.16</v>
      </c>
      <c r="J272" s="281">
        <v>0.08</v>
      </c>
    </row>
    <row r="273" spans="1:10" x14ac:dyDescent="0.3">
      <c r="A273" s="277" t="s">
        <v>585</v>
      </c>
      <c r="B273" s="278">
        <f t="shared" si="12"/>
        <v>0</v>
      </c>
      <c r="C273" s="278" t="str">
        <f t="shared" si="13"/>
        <v>Boyacá</v>
      </c>
      <c r="D273" s="278" t="str">
        <f t="shared" si="14"/>
        <v>Maripí, Boyacá</v>
      </c>
      <c r="E273" s="279">
        <v>15442</v>
      </c>
      <c r="F273" s="293">
        <v>0.15</v>
      </c>
      <c r="G273" s="280">
        <v>0.15</v>
      </c>
      <c r="H273" s="280" t="s">
        <v>40</v>
      </c>
      <c r="I273" s="280">
        <v>0.13</v>
      </c>
      <c r="J273" s="281">
        <v>7.0000000000000007E-2</v>
      </c>
    </row>
    <row r="274" spans="1:10" x14ac:dyDescent="0.3">
      <c r="A274" s="277" t="s">
        <v>586</v>
      </c>
      <c r="B274" s="278">
        <f t="shared" si="12"/>
        <v>0</v>
      </c>
      <c r="C274" s="278" t="str">
        <f t="shared" si="13"/>
        <v>Boyacá</v>
      </c>
      <c r="D274" s="278" t="str">
        <f t="shared" si="14"/>
        <v>Miraflores, Boyacá</v>
      </c>
      <c r="E274" s="279">
        <v>15455</v>
      </c>
      <c r="F274" s="293">
        <v>0.25</v>
      </c>
      <c r="G274" s="280">
        <v>0.25</v>
      </c>
      <c r="H274" s="280" t="s">
        <v>322</v>
      </c>
      <c r="I274" s="280">
        <v>0.16</v>
      </c>
      <c r="J274" s="281">
        <v>0.08</v>
      </c>
    </row>
    <row r="275" spans="1:10" x14ac:dyDescent="0.3">
      <c r="A275" s="277" t="s">
        <v>587</v>
      </c>
      <c r="B275" s="278">
        <f t="shared" si="12"/>
        <v>0</v>
      </c>
      <c r="C275" s="278" t="str">
        <f t="shared" si="13"/>
        <v>Boyacá</v>
      </c>
      <c r="D275" s="278" t="str">
        <f t="shared" si="14"/>
        <v>Mongua, Boyacá</v>
      </c>
      <c r="E275" s="279">
        <v>15464</v>
      </c>
      <c r="F275" s="280">
        <v>0.25</v>
      </c>
      <c r="G275" s="280">
        <v>0.3</v>
      </c>
      <c r="H275" s="280" t="s">
        <v>322</v>
      </c>
      <c r="I275" s="280">
        <v>0.16</v>
      </c>
      <c r="J275" s="281">
        <v>0.08</v>
      </c>
    </row>
    <row r="276" spans="1:10" x14ac:dyDescent="0.3">
      <c r="A276" s="277" t="s">
        <v>588</v>
      </c>
      <c r="B276" s="278">
        <f t="shared" si="12"/>
        <v>0</v>
      </c>
      <c r="C276" s="278" t="str">
        <f t="shared" si="13"/>
        <v>Boyacá</v>
      </c>
      <c r="D276" s="278" t="str">
        <f t="shared" si="14"/>
        <v>Monguí, Boyacá</v>
      </c>
      <c r="E276" s="279">
        <v>15466</v>
      </c>
      <c r="F276" s="280">
        <v>0.25</v>
      </c>
      <c r="G276" s="280">
        <v>0.25</v>
      </c>
      <c r="H276" s="280" t="s">
        <v>322</v>
      </c>
      <c r="I276" s="280">
        <v>0.16</v>
      </c>
      <c r="J276" s="281">
        <v>0.08</v>
      </c>
    </row>
    <row r="277" spans="1:10" x14ac:dyDescent="0.3">
      <c r="A277" s="277" t="s">
        <v>589</v>
      </c>
      <c r="B277" s="278">
        <f t="shared" si="12"/>
        <v>0</v>
      </c>
      <c r="C277" s="278" t="str">
        <f t="shared" si="13"/>
        <v>Boyacá</v>
      </c>
      <c r="D277" s="278" t="str">
        <f t="shared" si="14"/>
        <v>Moniquirá, Boyacá</v>
      </c>
      <c r="E277" s="279">
        <v>15469</v>
      </c>
      <c r="F277" s="280">
        <v>0.15</v>
      </c>
      <c r="G277" s="280">
        <v>0.2</v>
      </c>
      <c r="H277" s="280" t="s">
        <v>40</v>
      </c>
      <c r="I277" s="280">
        <v>0.1</v>
      </c>
      <c r="J277" s="281">
        <v>0.06</v>
      </c>
    </row>
    <row r="278" spans="1:10" x14ac:dyDescent="0.3">
      <c r="A278" s="277" t="s">
        <v>590</v>
      </c>
      <c r="B278" s="278">
        <f t="shared" si="12"/>
        <v>0</v>
      </c>
      <c r="C278" s="278" t="str">
        <f t="shared" si="13"/>
        <v>Boyacá</v>
      </c>
      <c r="D278" s="278" t="str">
        <f t="shared" si="14"/>
        <v>Motavita, Boyacá</v>
      </c>
      <c r="E278" s="279">
        <v>15476</v>
      </c>
      <c r="F278" s="280">
        <v>0.2</v>
      </c>
      <c r="G278" s="280">
        <v>0.2</v>
      </c>
      <c r="H278" s="280" t="s">
        <v>40</v>
      </c>
      <c r="I278" s="280">
        <v>0.11</v>
      </c>
      <c r="J278" s="281">
        <v>0.05</v>
      </c>
    </row>
    <row r="279" spans="1:10" x14ac:dyDescent="0.3">
      <c r="A279" s="277" t="s">
        <v>591</v>
      </c>
      <c r="B279" s="278">
        <f t="shared" si="12"/>
        <v>0</v>
      </c>
      <c r="C279" s="278" t="str">
        <f t="shared" si="13"/>
        <v>Boyacá</v>
      </c>
      <c r="D279" s="278" t="str">
        <f t="shared" si="14"/>
        <v>Muzo, Boyacá</v>
      </c>
      <c r="E279" s="279">
        <v>15480</v>
      </c>
      <c r="F279" s="280">
        <v>0.15</v>
      </c>
      <c r="G279" s="280">
        <v>0.15</v>
      </c>
      <c r="H279" s="280" t="s">
        <v>40</v>
      </c>
      <c r="I279" s="280">
        <v>0.15</v>
      </c>
      <c r="J279" s="281">
        <v>0.08</v>
      </c>
    </row>
    <row r="280" spans="1:10" x14ac:dyDescent="0.3">
      <c r="A280" s="277" t="s">
        <v>592</v>
      </c>
      <c r="B280" s="278">
        <f t="shared" si="12"/>
        <v>0</v>
      </c>
      <c r="C280" s="278" t="str">
        <f t="shared" si="13"/>
        <v>Boyacá</v>
      </c>
      <c r="D280" s="278" t="str">
        <f t="shared" si="14"/>
        <v>Nobsa, Boyacá</v>
      </c>
      <c r="E280" s="279">
        <v>15491</v>
      </c>
      <c r="F280" s="280">
        <v>0.25</v>
      </c>
      <c r="G280" s="280">
        <v>0.25</v>
      </c>
      <c r="H280" s="280" t="s">
        <v>322</v>
      </c>
      <c r="I280" s="280">
        <v>0.16</v>
      </c>
      <c r="J280" s="281">
        <v>0.08</v>
      </c>
    </row>
    <row r="281" spans="1:10" x14ac:dyDescent="0.3">
      <c r="A281" s="277" t="s">
        <v>593</v>
      </c>
      <c r="B281" s="278">
        <f t="shared" si="12"/>
        <v>0</v>
      </c>
      <c r="C281" s="278" t="str">
        <f t="shared" si="13"/>
        <v>Boyacá</v>
      </c>
      <c r="D281" s="278" t="str">
        <f t="shared" si="14"/>
        <v>Nuevo Colón, Boyacá</v>
      </c>
      <c r="E281" s="279">
        <v>15494</v>
      </c>
      <c r="F281" s="280">
        <v>0.2</v>
      </c>
      <c r="G281" s="280">
        <v>0.2</v>
      </c>
      <c r="H281" s="280" t="s">
        <v>40</v>
      </c>
      <c r="I281" s="280">
        <v>0.13</v>
      </c>
      <c r="J281" s="281">
        <v>0.06</v>
      </c>
    </row>
    <row r="282" spans="1:10" x14ac:dyDescent="0.3">
      <c r="A282" s="277" t="s">
        <v>594</v>
      </c>
      <c r="B282" s="278">
        <f t="shared" si="12"/>
        <v>0</v>
      </c>
      <c r="C282" s="278" t="str">
        <f t="shared" si="13"/>
        <v>Boyacá</v>
      </c>
      <c r="D282" s="278" t="str">
        <f t="shared" si="14"/>
        <v>Oicatá, Boyacá</v>
      </c>
      <c r="E282" s="279">
        <v>15500</v>
      </c>
      <c r="F282" s="280">
        <v>0.2</v>
      </c>
      <c r="G282" s="293">
        <v>0.2</v>
      </c>
      <c r="H282" s="280" t="s">
        <v>40</v>
      </c>
      <c r="I282" s="280">
        <v>0.13</v>
      </c>
      <c r="J282" s="281">
        <v>0.06</v>
      </c>
    </row>
    <row r="283" spans="1:10" x14ac:dyDescent="0.3">
      <c r="A283" s="277" t="s">
        <v>595</v>
      </c>
      <c r="B283" s="278">
        <f t="shared" si="12"/>
        <v>0</v>
      </c>
      <c r="C283" s="278" t="str">
        <f t="shared" si="13"/>
        <v>Boyacá</v>
      </c>
      <c r="D283" s="278" t="str">
        <f t="shared" si="14"/>
        <v>Otanche, Boyacá</v>
      </c>
      <c r="E283" s="279">
        <v>15507</v>
      </c>
      <c r="F283" s="280">
        <v>0.15</v>
      </c>
      <c r="G283" s="280">
        <v>0.15</v>
      </c>
      <c r="H283" s="280" t="s">
        <v>40</v>
      </c>
      <c r="I283" s="280">
        <v>0.16</v>
      </c>
      <c r="J283" s="281">
        <v>0.08</v>
      </c>
    </row>
    <row r="284" spans="1:10" x14ac:dyDescent="0.3">
      <c r="A284" s="277" t="s">
        <v>596</v>
      </c>
      <c r="B284" s="278">
        <f t="shared" si="12"/>
        <v>0</v>
      </c>
      <c r="C284" s="278" t="str">
        <f t="shared" si="13"/>
        <v>Boyacá</v>
      </c>
      <c r="D284" s="278" t="str">
        <f t="shared" si="14"/>
        <v>Pachavita, Boyacá</v>
      </c>
      <c r="E284" s="279">
        <v>15511</v>
      </c>
      <c r="F284" s="293">
        <v>0.2</v>
      </c>
      <c r="G284" s="280">
        <v>0.25</v>
      </c>
      <c r="H284" s="280" t="s">
        <v>322</v>
      </c>
      <c r="I284" s="280">
        <v>0.16</v>
      </c>
      <c r="J284" s="281">
        <v>7.0000000000000007E-2</v>
      </c>
    </row>
    <row r="285" spans="1:10" x14ac:dyDescent="0.3">
      <c r="A285" s="277" t="s">
        <v>597</v>
      </c>
      <c r="B285" s="278">
        <f t="shared" si="12"/>
        <v>0</v>
      </c>
      <c r="C285" s="278" t="str">
        <f t="shared" si="13"/>
        <v>Boyacá</v>
      </c>
      <c r="D285" s="278" t="str">
        <f t="shared" si="14"/>
        <v>Páez, Boyacá</v>
      </c>
      <c r="E285" s="279">
        <v>15514</v>
      </c>
      <c r="F285" s="280">
        <v>0.3</v>
      </c>
      <c r="G285" s="293">
        <v>0.3</v>
      </c>
      <c r="H285" s="280" t="s">
        <v>322</v>
      </c>
      <c r="I285" s="280">
        <v>0.16</v>
      </c>
      <c r="J285" s="281">
        <v>0.08</v>
      </c>
    </row>
    <row r="286" spans="1:10" x14ac:dyDescent="0.3">
      <c r="A286" s="277" t="s">
        <v>598</v>
      </c>
      <c r="B286" s="278">
        <f t="shared" si="12"/>
        <v>0</v>
      </c>
      <c r="C286" s="278" t="str">
        <f t="shared" si="13"/>
        <v>Boyacá</v>
      </c>
      <c r="D286" s="278" t="str">
        <f t="shared" si="14"/>
        <v>Paipa, Boyacá</v>
      </c>
      <c r="E286" s="279">
        <v>15516</v>
      </c>
      <c r="F286" s="280">
        <v>0.2</v>
      </c>
      <c r="G286" s="280">
        <v>0.25</v>
      </c>
      <c r="H286" s="280" t="s">
        <v>322</v>
      </c>
      <c r="I286" s="280">
        <v>0.12</v>
      </c>
      <c r="J286" s="281">
        <v>0.06</v>
      </c>
    </row>
    <row r="287" spans="1:10" x14ac:dyDescent="0.3">
      <c r="A287" s="277" t="s">
        <v>599</v>
      </c>
      <c r="B287" s="278">
        <f t="shared" si="12"/>
        <v>0</v>
      </c>
      <c r="C287" s="278" t="str">
        <f t="shared" si="13"/>
        <v>Boyacá</v>
      </c>
      <c r="D287" s="278" t="str">
        <f t="shared" si="14"/>
        <v>Pajarito, Boyacá</v>
      </c>
      <c r="E287" s="279">
        <v>15518</v>
      </c>
      <c r="F287" s="280">
        <v>0.3</v>
      </c>
      <c r="G287" s="280">
        <v>0.25</v>
      </c>
      <c r="H287" s="280" t="s">
        <v>322</v>
      </c>
      <c r="I287" s="280">
        <v>0.16</v>
      </c>
      <c r="J287" s="281">
        <v>0.08</v>
      </c>
    </row>
    <row r="288" spans="1:10" x14ac:dyDescent="0.3">
      <c r="A288" s="277" t="s">
        <v>600</v>
      </c>
      <c r="B288" s="278">
        <f t="shared" si="12"/>
        <v>0</v>
      </c>
      <c r="C288" s="278" t="str">
        <f t="shared" si="13"/>
        <v>Boyacá</v>
      </c>
      <c r="D288" s="278" t="str">
        <f t="shared" si="14"/>
        <v>Panqueba, Boyacá</v>
      </c>
      <c r="E288" s="279">
        <v>15522</v>
      </c>
      <c r="F288" s="280">
        <v>0.25</v>
      </c>
      <c r="G288" s="280">
        <v>0.3</v>
      </c>
      <c r="H288" s="280" t="s">
        <v>322</v>
      </c>
      <c r="I288" s="280">
        <v>0.16</v>
      </c>
      <c r="J288" s="281">
        <v>0.08</v>
      </c>
    </row>
    <row r="289" spans="1:10" x14ac:dyDescent="0.3">
      <c r="A289" s="277" t="s">
        <v>601</v>
      </c>
      <c r="B289" s="278">
        <f t="shared" si="12"/>
        <v>0</v>
      </c>
      <c r="C289" s="278" t="str">
        <f t="shared" si="13"/>
        <v>Boyacá</v>
      </c>
      <c r="D289" s="278" t="str">
        <f t="shared" si="14"/>
        <v>Pauna, Boyacá</v>
      </c>
      <c r="E289" s="279">
        <v>15531</v>
      </c>
      <c r="F289" s="280">
        <v>0.15</v>
      </c>
      <c r="G289" s="280">
        <v>0.15</v>
      </c>
      <c r="H289" s="280" t="s">
        <v>40</v>
      </c>
      <c r="I289" s="280">
        <v>0.15</v>
      </c>
      <c r="J289" s="281">
        <v>7.0000000000000007E-2</v>
      </c>
    </row>
    <row r="290" spans="1:10" x14ac:dyDescent="0.3">
      <c r="A290" s="277" t="s">
        <v>602</v>
      </c>
      <c r="B290" s="278">
        <f t="shared" si="12"/>
        <v>0</v>
      </c>
      <c r="C290" s="278" t="str">
        <f t="shared" si="13"/>
        <v>Boyacá</v>
      </c>
      <c r="D290" s="278" t="str">
        <f t="shared" si="14"/>
        <v>Paya, Boyacá</v>
      </c>
      <c r="E290" s="279">
        <v>15533</v>
      </c>
      <c r="F290" s="280">
        <v>0.35</v>
      </c>
      <c r="G290" s="280">
        <v>0.25</v>
      </c>
      <c r="H290" s="280" t="s">
        <v>322</v>
      </c>
      <c r="I290" s="280">
        <v>0.16</v>
      </c>
      <c r="J290" s="281">
        <v>0.08</v>
      </c>
    </row>
    <row r="291" spans="1:10" x14ac:dyDescent="0.3">
      <c r="A291" s="277" t="s">
        <v>603</v>
      </c>
      <c r="B291" s="278">
        <f t="shared" si="12"/>
        <v>0</v>
      </c>
      <c r="C291" s="278" t="str">
        <f t="shared" si="13"/>
        <v>Boyacá</v>
      </c>
      <c r="D291" s="278" t="str">
        <f t="shared" si="14"/>
        <v>Paz De Río, Boyacá</v>
      </c>
      <c r="E291" s="279">
        <v>15537</v>
      </c>
      <c r="F291" s="280">
        <v>0.25</v>
      </c>
      <c r="G291" s="280">
        <v>0.25</v>
      </c>
      <c r="H291" s="280" t="s">
        <v>322</v>
      </c>
      <c r="I291" s="280">
        <v>0.16</v>
      </c>
      <c r="J291" s="281">
        <v>0.08</v>
      </c>
    </row>
    <row r="292" spans="1:10" x14ac:dyDescent="0.3">
      <c r="A292" s="277" t="s">
        <v>604</v>
      </c>
      <c r="B292" s="278">
        <f t="shared" si="12"/>
        <v>0</v>
      </c>
      <c r="C292" s="278" t="str">
        <f t="shared" si="13"/>
        <v>Boyacá</v>
      </c>
      <c r="D292" s="278" t="str">
        <f t="shared" si="14"/>
        <v>Pesca, Boyacá</v>
      </c>
      <c r="E292" s="279">
        <v>15542</v>
      </c>
      <c r="F292" s="280">
        <v>0.2</v>
      </c>
      <c r="G292" s="280">
        <v>0.25</v>
      </c>
      <c r="H292" s="280" t="s">
        <v>322</v>
      </c>
      <c r="I292" s="280">
        <v>0.16</v>
      </c>
      <c r="J292" s="281">
        <v>0.08</v>
      </c>
    </row>
    <row r="293" spans="1:10" x14ac:dyDescent="0.3">
      <c r="A293" s="277" t="s">
        <v>605</v>
      </c>
      <c r="B293" s="278">
        <f t="shared" si="12"/>
        <v>0</v>
      </c>
      <c r="C293" s="278" t="str">
        <f t="shared" si="13"/>
        <v>Boyacá</v>
      </c>
      <c r="D293" s="278" t="str">
        <f t="shared" si="14"/>
        <v>Pisba, Boyacá</v>
      </c>
      <c r="E293" s="279">
        <v>15550</v>
      </c>
      <c r="F293" s="280">
        <v>0.3</v>
      </c>
      <c r="G293" s="280">
        <v>0.25</v>
      </c>
      <c r="H293" s="280" t="s">
        <v>322</v>
      </c>
      <c r="I293" s="280">
        <v>0.16</v>
      </c>
      <c r="J293" s="281">
        <v>0.08</v>
      </c>
    </row>
    <row r="294" spans="1:10" x14ac:dyDescent="0.3">
      <c r="A294" s="277" t="s">
        <v>606</v>
      </c>
      <c r="B294" s="278">
        <f t="shared" si="12"/>
        <v>0</v>
      </c>
      <c r="C294" s="278" t="str">
        <f t="shared" si="13"/>
        <v>Boyacá</v>
      </c>
      <c r="D294" s="278" t="str">
        <f t="shared" si="14"/>
        <v>Puerto Boyacá, Boyacá</v>
      </c>
      <c r="E294" s="279">
        <v>15572</v>
      </c>
      <c r="F294" s="280">
        <v>0.15</v>
      </c>
      <c r="G294" s="280">
        <v>0.15</v>
      </c>
      <c r="H294" s="280" t="s">
        <v>40</v>
      </c>
      <c r="I294" s="280">
        <v>0.1</v>
      </c>
      <c r="J294" s="281">
        <v>0.05</v>
      </c>
    </row>
    <row r="295" spans="1:10" x14ac:dyDescent="0.3">
      <c r="A295" s="277" t="s">
        <v>607</v>
      </c>
      <c r="B295" s="278">
        <f t="shared" si="12"/>
        <v>0</v>
      </c>
      <c r="C295" s="278" t="str">
        <f t="shared" si="13"/>
        <v>Boyacá</v>
      </c>
      <c r="D295" s="278" t="str">
        <f t="shared" si="14"/>
        <v>Quipama, Boyacá</v>
      </c>
      <c r="E295" s="279">
        <v>15580</v>
      </c>
      <c r="F295" s="280">
        <v>0.15</v>
      </c>
      <c r="G295" s="280">
        <v>0.15</v>
      </c>
      <c r="H295" s="280" t="s">
        <v>40</v>
      </c>
      <c r="I295" s="280">
        <v>0.16</v>
      </c>
      <c r="J295" s="281">
        <v>0.08</v>
      </c>
    </row>
    <row r="296" spans="1:10" x14ac:dyDescent="0.3">
      <c r="A296" s="277" t="s">
        <v>608</v>
      </c>
      <c r="B296" s="278">
        <f t="shared" si="12"/>
        <v>0</v>
      </c>
      <c r="C296" s="278" t="str">
        <f t="shared" si="13"/>
        <v>Boyacá</v>
      </c>
      <c r="D296" s="278" t="str">
        <f t="shared" si="14"/>
        <v>Ramiriquí, Boyacá</v>
      </c>
      <c r="E296" s="279">
        <v>15599</v>
      </c>
      <c r="F296" s="280">
        <v>0.2</v>
      </c>
      <c r="G296" s="280">
        <v>0.25</v>
      </c>
      <c r="H296" s="280" t="s">
        <v>322</v>
      </c>
      <c r="I296" s="280">
        <v>0.16</v>
      </c>
      <c r="J296" s="281">
        <v>0.08</v>
      </c>
    </row>
    <row r="297" spans="1:10" x14ac:dyDescent="0.3">
      <c r="A297" s="277" t="s">
        <v>609</v>
      </c>
      <c r="B297" s="278">
        <f t="shared" si="12"/>
        <v>0</v>
      </c>
      <c r="C297" s="278" t="str">
        <f t="shared" si="13"/>
        <v>Boyacá</v>
      </c>
      <c r="D297" s="278" t="str">
        <f t="shared" si="14"/>
        <v>Ráquira, Boyacá</v>
      </c>
      <c r="E297" s="279">
        <v>15600</v>
      </c>
      <c r="F297" s="293">
        <v>0.15</v>
      </c>
      <c r="G297" s="280">
        <v>0.2</v>
      </c>
      <c r="H297" s="280" t="s">
        <v>40</v>
      </c>
      <c r="I297" s="280">
        <v>0.09</v>
      </c>
      <c r="J297" s="281">
        <v>0.05</v>
      </c>
    </row>
    <row r="298" spans="1:10" x14ac:dyDescent="0.3">
      <c r="A298" s="277" t="s">
        <v>610</v>
      </c>
      <c r="B298" s="278">
        <f t="shared" si="12"/>
        <v>0</v>
      </c>
      <c r="C298" s="278" t="str">
        <f t="shared" si="13"/>
        <v>Boyacá</v>
      </c>
      <c r="D298" s="278" t="str">
        <f t="shared" si="14"/>
        <v>Rondón, Boyacá</v>
      </c>
      <c r="E298" s="279">
        <v>15621</v>
      </c>
      <c r="F298" s="280">
        <v>0.2</v>
      </c>
      <c r="G298" s="280">
        <v>0.25</v>
      </c>
      <c r="H298" s="280" t="s">
        <v>322</v>
      </c>
      <c r="I298" s="280">
        <v>0.16</v>
      </c>
      <c r="J298" s="281">
        <v>0.08</v>
      </c>
    </row>
    <row r="299" spans="1:10" x14ac:dyDescent="0.3">
      <c r="A299" s="277" t="s">
        <v>611</v>
      </c>
      <c r="B299" s="278">
        <f t="shared" si="12"/>
        <v>0</v>
      </c>
      <c r="C299" s="278" t="str">
        <f t="shared" si="13"/>
        <v>Boyacá</v>
      </c>
      <c r="D299" s="278" t="str">
        <f t="shared" si="14"/>
        <v>Saboyá, Boyacá</v>
      </c>
      <c r="E299" s="279">
        <v>15632</v>
      </c>
      <c r="F299" s="280">
        <v>0.15</v>
      </c>
      <c r="G299" s="280">
        <v>0.2</v>
      </c>
      <c r="H299" s="280" t="s">
        <v>40</v>
      </c>
      <c r="I299" s="280">
        <v>0.1</v>
      </c>
      <c r="J299" s="281">
        <v>0.06</v>
      </c>
    </row>
    <row r="300" spans="1:10" x14ac:dyDescent="0.3">
      <c r="A300" s="277" t="s">
        <v>612</v>
      </c>
      <c r="B300" s="278">
        <f t="shared" si="12"/>
        <v>0</v>
      </c>
      <c r="C300" s="278" t="str">
        <f t="shared" si="13"/>
        <v>Boyacá</v>
      </c>
      <c r="D300" s="278" t="str">
        <f t="shared" si="14"/>
        <v>Sáchica, Boyacá</v>
      </c>
      <c r="E300" s="279">
        <v>15638</v>
      </c>
      <c r="F300" s="280">
        <v>0.2</v>
      </c>
      <c r="G300" s="280">
        <v>0.2</v>
      </c>
      <c r="H300" s="280" t="s">
        <v>40</v>
      </c>
      <c r="I300" s="280">
        <v>0.09</v>
      </c>
      <c r="J300" s="281">
        <v>0.05</v>
      </c>
    </row>
    <row r="301" spans="1:10" x14ac:dyDescent="0.3">
      <c r="A301" s="277" t="s">
        <v>613</v>
      </c>
      <c r="B301" s="278">
        <f t="shared" si="12"/>
        <v>0</v>
      </c>
      <c r="C301" s="278" t="str">
        <f t="shared" si="13"/>
        <v>Boyacá</v>
      </c>
      <c r="D301" s="278" t="str">
        <f t="shared" si="14"/>
        <v>Samacá, Boyacá</v>
      </c>
      <c r="E301" s="279">
        <v>15646</v>
      </c>
      <c r="F301" s="280">
        <v>0.2</v>
      </c>
      <c r="G301" s="280">
        <v>0.2</v>
      </c>
      <c r="H301" s="280" t="s">
        <v>40</v>
      </c>
      <c r="I301" s="280">
        <v>0.1</v>
      </c>
      <c r="J301" s="281">
        <v>0.05</v>
      </c>
    </row>
    <row r="302" spans="1:10" x14ac:dyDescent="0.3">
      <c r="A302" s="277" t="s">
        <v>614</v>
      </c>
      <c r="B302" s="278">
        <f t="shared" si="12"/>
        <v>0</v>
      </c>
      <c r="C302" s="278" t="str">
        <f t="shared" si="13"/>
        <v>Boyacá</v>
      </c>
      <c r="D302" s="278" t="str">
        <f t="shared" si="14"/>
        <v>San Eduardo, Boyacá</v>
      </c>
      <c r="E302" s="279">
        <v>15660</v>
      </c>
      <c r="F302" s="280">
        <v>0.25</v>
      </c>
      <c r="G302" s="280">
        <v>0.25</v>
      </c>
      <c r="H302" s="280" t="s">
        <v>322</v>
      </c>
      <c r="I302" s="280">
        <v>0.16</v>
      </c>
      <c r="J302" s="281">
        <v>0.08</v>
      </c>
    </row>
    <row r="303" spans="1:10" x14ac:dyDescent="0.3">
      <c r="A303" s="277" t="s">
        <v>615</v>
      </c>
      <c r="B303" s="278">
        <f t="shared" si="12"/>
        <v>0</v>
      </c>
      <c r="C303" s="278" t="str">
        <f t="shared" si="13"/>
        <v>Boyacá</v>
      </c>
      <c r="D303" s="278" t="str">
        <f t="shared" si="14"/>
        <v>San José De Pare, Boyacá</v>
      </c>
      <c r="E303" s="279">
        <v>15664</v>
      </c>
      <c r="F303" s="280">
        <v>0.15</v>
      </c>
      <c r="G303" s="280">
        <v>0.2</v>
      </c>
      <c r="H303" s="280" t="s">
        <v>40</v>
      </c>
      <c r="I303" s="280">
        <v>0.11</v>
      </c>
      <c r="J303" s="281">
        <v>0.06</v>
      </c>
    </row>
    <row r="304" spans="1:10" x14ac:dyDescent="0.3">
      <c r="A304" s="277" t="s">
        <v>616</v>
      </c>
      <c r="B304" s="278">
        <f t="shared" si="12"/>
        <v>0</v>
      </c>
      <c r="C304" s="278" t="str">
        <f t="shared" si="13"/>
        <v>Boyacá</v>
      </c>
      <c r="D304" s="278" t="str">
        <f t="shared" si="14"/>
        <v>San Luis De Gaceno, Boyacá</v>
      </c>
      <c r="E304" s="279">
        <v>15667</v>
      </c>
      <c r="F304" s="280">
        <v>0.35</v>
      </c>
      <c r="G304" s="280">
        <v>0.3</v>
      </c>
      <c r="H304" s="280" t="s">
        <v>322</v>
      </c>
      <c r="I304" s="280">
        <v>0.16</v>
      </c>
      <c r="J304" s="281">
        <v>7.0000000000000007E-2</v>
      </c>
    </row>
    <row r="305" spans="1:10" x14ac:dyDescent="0.3">
      <c r="A305" s="277" t="s">
        <v>617</v>
      </c>
      <c r="B305" s="278">
        <f t="shared" si="12"/>
        <v>0</v>
      </c>
      <c r="C305" s="278" t="str">
        <f t="shared" si="13"/>
        <v>Boyacá</v>
      </c>
      <c r="D305" s="278" t="str">
        <f t="shared" si="14"/>
        <v>San Mateo, Boyacá</v>
      </c>
      <c r="E305" s="279">
        <v>15673</v>
      </c>
      <c r="F305" s="280">
        <v>0.25</v>
      </c>
      <c r="G305" s="280">
        <v>0.25</v>
      </c>
      <c r="H305" s="280" t="s">
        <v>322</v>
      </c>
      <c r="I305" s="280">
        <v>0.16</v>
      </c>
      <c r="J305" s="281">
        <v>0.08</v>
      </c>
    </row>
    <row r="306" spans="1:10" x14ac:dyDescent="0.3">
      <c r="A306" s="277" t="s">
        <v>618</v>
      </c>
      <c r="B306" s="278">
        <f t="shared" si="12"/>
        <v>0</v>
      </c>
      <c r="C306" s="278" t="str">
        <f t="shared" si="13"/>
        <v>Boyacá</v>
      </c>
      <c r="D306" s="278" t="str">
        <f t="shared" si="14"/>
        <v>San Miguel de Sema, Boyacá</v>
      </c>
      <c r="E306" s="279">
        <v>15676</v>
      </c>
      <c r="F306" s="280">
        <v>0.15</v>
      </c>
      <c r="G306" s="280">
        <v>0.2</v>
      </c>
      <c r="H306" s="280" t="s">
        <v>40</v>
      </c>
      <c r="I306" s="280">
        <v>0.09</v>
      </c>
      <c r="J306" s="281">
        <v>0.05</v>
      </c>
    </row>
    <row r="307" spans="1:10" x14ac:dyDescent="0.3">
      <c r="A307" s="277" t="s">
        <v>619</v>
      </c>
      <c r="B307" s="278">
        <f t="shared" si="12"/>
        <v>0</v>
      </c>
      <c r="C307" s="278" t="str">
        <f t="shared" si="13"/>
        <v>Boyacá</v>
      </c>
      <c r="D307" s="278" t="str">
        <f t="shared" si="14"/>
        <v>San Pablo Borbur, Boyacá</v>
      </c>
      <c r="E307" s="279">
        <v>15681</v>
      </c>
      <c r="F307" s="280">
        <v>0.15</v>
      </c>
      <c r="G307" s="280">
        <v>0.15</v>
      </c>
      <c r="H307" s="280" t="s">
        <v>40</v>
      </c>
      <c r="I307" s="280">
        <v>0.16</v>
      </c>
      <c r="J307" s="281">
        <v>0.08</v>
      </c>
    </row>
    <row r="308" spans="1:10" x14ac:dyDescent="0.3">
      <c r="A308" s="277" t="s">
        <v>620</v>
      </c>
      <c r="B308" s="278">
        <f t="shared" si="12"/>
        <v>0</v>
      </c>
      <c r="C308" s="278" t="str">
        <f t="shared" si="13"/>
        <v>Boyacá</v>
      </c>
      <c r="D308" s="278" t="str">
        <f t="shared" si="14"/>
        <v>San Rosa Viterbo, Boyacá</v>
      </c>
      <c r="E308" s="279">
        <v>15693</v>
      </c>
      <c r="F308" s="280">
        <v>0.2</v>
      </c>
      <c r="G308" s="280">
        <v>0.25</v>
      </c>
      <c r="H308" s="280" t="s">
        <v>322</v>
      </c>
      <c r="I308" s="280">
        <v>0.16</v>
      </c>
      <c r="J308" s="281">
        <v>0.08</v>
      </c>
    </row>
    <row r="309" spans="1:10" x14ac:dyDescent="0.3">
      <c r="A309" s="277" t="s">
        <v>621</v>
      </c>
      <c r="B309" s="278">
        <f t="shared" si="12"/>
        <v>0</v>
      </c>
      <c r="C309" s="278" t="str">
        <f t="shared" si="13"/>
        <v>Boyacá</v>
      </c>
      <c r="D309" s="278" t="str">
        <f t="shared" si="14"/>
        <v>Santa María, Boyacá</v>
      </c>
      <c r="E309" s="279">
        <v>15690</v>
      </c>
      <c r="F309" s="280">
        <v>0.3</v>
      </c>
      <c r="G309" s="280">
        <v>0.25</v>
      </c>
      <c r="H309" s="280" t="s">
        <v>322</v>
      </c>
      <c r="I309" s="280">
        <v>0.16</v>
      </c>
      <c r="J309" s="281">
        <v>0.08</v>
      </c>
    </row>
    <row r="310" spans="1:10" x14ac:dyDescent="0.3">
      <c r="A310" s="277" t="s">
        <v>622</v>
      </c>
      <c r="B310" s="278">
        <f t="shared" si="12"/>
        <v>0</v>
      </c>
      <c r="C310" s="278" t="str">
        <f t="shared" si="13"/>
        <v>Boyacá</v>
      </c>
      <c r="D310" s="278" t="str">
        <f t="shared" si="14"/>
        <v>Santa Sofía, Boyacá</v>
      </c>
      <c r="E310" s="279">
        <v>15696</v>
      </c>
      <c r="F310" s="280">
        <v>0.15</v>
      </c>
      <c r="G310" s="280">
        <v>0.2</v>
      </c>
      <c r="H310" s="280" t="s">
        <v>40</v>
      </c>
      <c r="I310" s="280">
        <v>0.09</v>
      </c>
      <c r="J310" s="281">
        <v>0.05</v>
      </c>
    </row>
    <row r="311" spans="1:10" x14ac:dyDescent="0.3">
      <c r="A311" s="277" t="s">
        <v>623</v>
      </c>
      <c r="B311" s="278">
        <f t="shared" si="12"/>
        <v>0</v>
      </c>
      <c r="C311" s="278" t="str">
        <f t="shared" si="13"/>
        <v>Boyacá</v>
      </c>
      <c r="D311" s="278" t="str">
        <f t="shared" si="14"/>
        <v>Santana, Boyacá</v>
      </c>
      <c r="E311" s="279">
        <v>15686</v>
      </c>
      <c r="F311" s="280">
        <v>0.15</v>
      </c>
      <c r="G311" s="280">
        <v>0.2</v>
      </c>
      <c r="H311" s="280" t="s">
        <v>40</v>
      </c>
      <c r="I311" s="280">
        <v>0.13</v>
      </c>
      <c r="J311" s="281">
        <v>7.0000000000000007E-2</v>
      </c>
    </row>
    <row r="312" spans="1:10" x14ac:dyDescent="0.3">
      <c r="A312" s="277" t="s">
        <v>624</v>
      </c>
      <c r="B312" s="278">
        <f t="shared" si="12"/>
        <v>0</v>
      </c>
      <c r="C312" s="278" t="str">
        <f t="shared" si="13"/>
        <v>Boyacá</v>
      </c>
      <c r="D312" s="278" t="str">
        <f t="shared" si="14"/>
        <v>Sativanorte, Boyacá</v>
      </c>
      <c r="E312" s="279">
        <v>15720</v>
      </c>
      <c r="F312" s="280">
        <v>0.25</v>
      </c>
      <c r="G312" s="280">
        <v>0.25</v>
      </c>
      <c r="H312" s="280" t="s">
        <v>322</v>
      </c>
      <c r="I312" s="280">
        <v>0.16</v>
      </c>
      <c r="J312" s="281">
        <v>0.08</v>
      </c>
    </row>
    <row r="313" spans="1:10" x14ac:dyDescent="0.3">
      <c r="A313" s="277" t="s">
        <v>625</v>
      </c>
      <c r="B313" s="278">
        <f t="shared" si="12"/>
        <v>0</v>
      </c>
      <c r="C313" s="278" t="str">
        <f t="shared" si="13"/>
        <v>Boyacá</v>
      </c>
      <c r="D313" s="278" t="str">
        <f t="shared" si="14"/>
        <v>Sativasur, Boyacá</v>
      </c>
      <c r="E313" s="279">
        <v>15723</v>
      </c>
      <c r="F313" s="280">
        <v>0.25</v>
      </c>
      <c r="G313" s="280">
        <v>0.25</v>
      </c>
      <c r="H313" s="280" t="s">
        <v>322</v>
      </c>
      <c r="I313" s="280">
        <v>0.16</v>
      </c>
      <c r="J313" s="281">
        <v>0.08</v>
      </c>
    </row>
    <row r="314" spans="1:10" x14ac:dyDescent="0.3">
      <c r="A314" s="277" t="s">
        <v>626</v>
      </c>
      <c r="B314" s="278">
        <f t="shared" si="12"/>
        <v>0</v>
      </c>
      <c r="C314" s="278" t="str">
        <f t="shared" si="13"/>
        <v>Boyacá</v>
      </c>
      <c r="D314" s="278" t="str">
        <f t="shared" si="14"/>
        <v>Siachoque, Boyacá</v>
      </c>
      <c r="E314" s="279">
        <v>15740</v>
      </c>
      <c r="F314" s="293">
        <v>0.2</v>
      </c>
      <c r="G314" s="280">
        <v>0.25</v>
      </c>
      <c r="H314" s="280" t="s">
        <v>322</v>
      </c>
      <c r="I314" s="280">
        <v>0.16</v>
      </c>
      <c r="J314" s="281">
        <v>0.08</v>
      </c>
    </row>
    <row r="315" spans="1:10" x14ac:dyDescent="0.3">
      <c r="A315" s="277" t="s">
        <v>627</v>
      </c>
      <c r="B315" s="278">
        <f t="shared" si="12"/>
        <v>0</v>
      </c>
      <c r="C315" s="278" t="str">
        <f t="shared" si="13"/>
        <v>Boyacá</v>
      </c>
      <c r="D315" s="278" t="str">
        <f t="shared" si="14"/>
        <v>Soatá, Boyacá</v>
      </c>
      <c r="E315" s="279">
        <v>15753</v>
      </c>
      <c r="F315" s="280">
        <v>0.25</v>
      </c>
      <c r="G315" s="280">
        <v>0.25</v>
      </c>
      <c r="H315" s="280" t="s">
        <v>322</v>
      </c>
      <c r="I315" s="280">
        <v>0.16</v>
      </c>
      <c r="J315" s="281">
        <v>7.0000000000000007E-2</v>
      </c>
    </row>
    <row r="316" spans="1:10" x14ac:dyDescent="0.3">
      <c r="A316" s="277" t="s">
        <v>628</v>
      </c>
      <c r="B316" s="278">
        <f t="shared" si="12"/>
        <v>0</v>
      </c>
      <c r="C316" s="278" t="str">
        <f t="shared" si="13"/>
        <v>Boyacá</v>
      </c>
      <c r="D316" s="278" t="str">
        <f t="shared" si="14"/>
        <v>Socha, Boyacá</v>
      </c>
      <c r="E316" s="279">
        <v>15757</v>
      </c>
      <c r="F316" s="280">
        <v>0.25</v>
      </c>
      <c r="G316" s="280">
        <v>0.25</v>
      </c>
      <c r="H316" s="280" t="s">
        <v>322</v>
      </c>
      <c r="I316" s="280">
        <v>0.16</v>
      </c>
      <c r="J316" s="281">
        <v>0.08</v>
      </c>
    </row>
    <row r="317" spans="1:10" x14ac:dyDescent="0.3">
      <c r="A317" s="277" t="s">
        <v>629</v>
      </c>
      <c r="B317" s="278">
        <f t="shared" si="12"/>
        <v>0</v>
      </c>
      <c r="C317" s="278" t="str">
        <f t="shared" si="13"/>
        <v>Boyacá</v>
      </c>
      <c r="D317" s="278" t="str">
        <f t="shared" si="14"/>
        <v>Socotá, Boyacá</v>
      </c>
      <c r="E317" s="279">
        <v>15755</v>
      </c>
      <c r="F317" s="280">
        <v>0.25</v>
      </c>
      <c r="G317" s="280">
        <v>0.3</v>
      </c>
      <c r="H317" s="280" t="s">
        <v>322</v>
      </c>
      <c r="I317" s="280">
        <v>0.16</v>
      </c>
      <c r="J317" s="281">
        <v>0.08</v>
      </c>
    </row>
    <row r="318" spans="1:10" x14ac:dyDescent="0.3">
      <c r="A318" s="277" t="s">
        <v>630</v>
      </c>
      <c r="B318" s="278">
        <f t="shared" si="12"/>
        <v>0</v>
      </c>
      <c r="C318" s="278" t="str">
        <f t="shared" si="13"/>
        <v>Boyacá</v>
      </c>
      <c r="D318" s="278" t="str">
        <f t="shared" si="14"/>
        <v>Sogamoso, Boyacá</v>
      </c>
      <c r="E318" s="279">
        <v>15759</v>
      </c>
      <c r="F318" s="280">
        <v>0.25</v>
      </c>
      <c r="G318" s="280">
        <v>0.25</v>
      </c>
      <c r="H318" s="280" t="s">
        <v>322</v>
      </c>
      <c r="I318" s="280">
        <v>0.16</v>
      </c>
      <c r="J318" s="281">
        <v>0.08</v>
      </c>
    </row>
    <row r="319" spans="1:10" x14ac:dyDescent="0.3">
      <c r="A319" s="277" t="s">
        <v>631</v>
      </c>
      <c r="B319" s="278">
        <f t="shared" si="12"/>
        <v>0</v>
      </c>
      <c r="C319" s="278" t="str">
        <f t="shared" si="13"/>
        <v>Boyacá</v>
      </c>
      <c r="D319" s="278" t="str">
        <f t="shared" si="14"/>
        <v>Somondoco, Boyacá</v>
      </c>
      <c r="E319" s="279">
        <v>15761</v>
      </c>
      <c r="F319" s="280">
        <v>0.25</v>
      </c>
      <c r="G319" s="280">
        <v>0.25</v>
      </c>
      <c r="H319" s="280" t="s">
        <v>322</v>
      </c>
      <c r="I319" s="280">
        <v>0.16</v>
      </c>
      <c r="J319" s="281">
        <v>0.08</v>
      </c>
    </row>
    <row r="320" spans="1:10" x14ac:dyDescent="0.3">
      <c r="A320" s="277" t="s">
        <v>632</v>
      </c>
      <c r="B320" s="278">
        <f t="shared" si="12"/>
        <v>0</v>
      </c>
      <c r="C320" s="278" t="str">
        <f t="shared" si="13"/>
        <v>Boyacá</v>
      </c>
      <c r="D320" s="278" t="str">
        <f t="shared" si="14"/>
        <v>Sora, Boyacá</v>
      </c>
      <c r="E320" s="279">
        <v>15762</v>
      </c>
      <c r="F320" s="280">
        <v>0.2</v>
      </c>
      <c r="G320" s="280">
        <v>0.2</v>
      </c>
      <c r="H320" s="280" t="s">
        <v>40</v>
      </c>
      <c r="I320" s="280">
        <v>0.1</v>
      </c>
      <c r="J320" s="281">
        <v>0.05</v>
      </c>
    </row>
    <row r="321" spans="1:10" x14ac:dyDescent="0.3">
      <c r="A321" s="277" t="s">
        <v>633</v>
      </c>
      <c r="B321" s="278">
        <f t="shared" si="12"/>
        <v>0</v>
      </c>
      <c r="C321" s="278" t="str">
        <f t="shared" si="13"/>
        <v>Boyacá</v>
      </c>
      <c r="D321" s="278" t="str">
        <f t="shared" si="14"/>
        <v>Soracá, Boyacá</v>
      </c>
      <c r="E321" s="279">
        <v>15764</v>
      </c>
      <c r="F321" s="280">
        <v>0.2</v>
      </c>
      <c r="G321" s="280">
        <v>0.25</v>
      </c>
      <c r="H321" s="280" t="s">
        <v>322</v>
      </c>
      <c r="I321" s="280">
        <v>0.14000000000000001</v>
      </c>
      <c r="J321" s="281">
        <v>7.0000000000000007E-2</v>
      </c>
    </row>
    <row r="322" spans="1:10" x14ac:dyDescent="0.3">
      <c r="A322" s="277" t="s">
        <v>634</v>
      </c>
      <c r="B322" s="278">
        <f t="shared" si="12"/>
        <v>0</v>
      </c>
      <c r="C322" s="278" t="str">
        <f t="shared" si="13"/>
        <v>Boyacá</v>
      </c>
      <c r="D322" s="278" t="str">
        <f t="shared" si="14"/>
        <v>Sotaquirá, Boyacá</v>
      </c>
      <c r="E322" s="279">
        <v>15763</v>
      </c>
      <c r="F322" s="280">
        <v>0.2</v>
      </c>
      <c r="G322" s="280">
        <v>0.2</v>
      </c>
      <c r="H322" s="280" t="s">
        <v>40</v>
      </c>
      <c r="I322" s="280">
        <v>0.11</v>
      </c>
      <c r="J322" s="281">
        <v>0.06</v>
      </c>
    </row>
    <row r="323" spans="1:10" x14ac:dyDescent="0.3">
      <c r="A323" s="277" t="s">
        <v>635</v>
      </c>
      <c r="B323" s="278">
        <f t="shared" ref="B323:B386" si="15">IFERROR(FIND("Departamento",A323),0)</f>
        <v>0</v>
      </c>
      <c r="C323" s="278" t="str">
        <f t="shared" ref="C323:C386" si="16">IF(B323=1,IF(ISERROR(FIND("del",A323)),MID(A323,17,30),MID(A323,18,30)),C322)</f>
        <v>Boyacá</v>
      </c>
      <c r="D323" s="278" t="str">
        <f t="shared" ref="D323:D386" si="17">IF(B323=1,"",CONCATENATE(A323,", ",C323))</f>
        <v>Susacón, Boyacá</v>
      </c>
      <c r="E323" s="279">
        <v>15774</v>
      </c>
      <c r="F323" s="280">
        <v>0.25</v>
      </c>
      <c r="G323" s="280">
        <v>0.25</v>
      </c>
      <c r="H323" s="280" t="s">
        <v>322</v>
      </c>
      <c r="I323" s="280">
        <v>0.16</v>
      </c>
      <c r="J323" s="281">
        <v>0.08</v>
      </c>
    </row>
    <row r="324" spans="1:10" x14ac:dyDescent="0.3">
      <c r="A324" s="277" t="s">
        <v>636</v>
      </c>
      <c r="B324" s="278">
        <f t="shared" si="15"/>
        <v>0</v>
      </c>
      <c r="C324" s="278" t="str">
        <f t="shared" si="16"/>
        <v>Boyacá</v>
      </c>
      <c r="D324" s="278" t="str">
        <f t="shared" si="17"/>
        <v>Sutamarchán, Boyacá</v>
      </c>
      <c r="E324" s="279">
        <v>15776</v>
      </c>
      <c r="F324" s="280">
        <v>0.15</v>
      </c>
      <c r="G324" s="280">
        <v>0.2</v>
      </c>
      <c r="H324" s="280" t="s">
        <v>40</v>
      </c>
      <c r="I324" s="280">
        <v>0.09</v>
      </c>
      <c r="J324" s="281">
        <v>0.05</v>
      </c>
    </row>
    <row r="325" spans="1:10" x14ac:dyDescent="0.3">
      <c r="A325" s="277" t="s">
        <v>637</v>
      </c>
      <c r="B325" s="278">
        <f t="shared" si="15"/>
        <v>0</v>
      </c>
      <c r="C325" s="278" t="str">
        <f t="shared" si="16"/>
        <v>Boyacá</v>
      </c>
      <c r="D325" s="278" t="str">
        <f t="shared" si="17"/>
        <v>Sutatenza, Boyacá</v>
      </c>
      <c r="E325" s="279">
        <v>15778</v>
      </c>
      <c r="F325" s="280">
        <v>0.25</v>
      </c>
      <c r="G325" s="280">
        <v>0.25</v>
      </c>
      <c r="H325" s="280" t="s">
        <v>322</v>
      </c>
      <c r="I325" s="280">
        <v>0.16</v>
      </c>
      <c r="J325" s="281">
        <v>0.08</v>
      </c>
    </row>
    <row r="326" spans="1:10" x14ac:dyDescent="0.3">
      <c r="A326" s="277" t="s">
        <v>638</v>
      </c>
      <c r="B326" s="278">
        <f t="shared" si="15"/>
        <v>0</v>
      </c>
      <c r="C326" s="278" t="str">
        <f t="shared" si="16"/>
        <v>Boyacá</v>
      </c>
      <c r="D326" s="278" t="str">
        <f t="shared" si="17"/>
        <v>Tasco, Boyacá</v>
      </c>
      <c r="E326" s="279">
        <v>15790</v>
      </c>
      <c r="F326" s="280">
        <v>0.25</v>
      </c>
      <c r="G326" s="280">
        <v>0.25</v>
      </c>
      <c r="H326" s="280" t="s">
        <v>322</v>
      </c>
      <c r="I326" s="280">
        <v>0.16</v>
      </c>
      <c r="J326" s="281">
        <v>0.08</v>
      </c>
    </row>
    <row r="327" spans="1:10" x14ac:dyDescent="0.3">
      <c r="A327" s="277" t="s">
        <v>639</v>
      </c>
      <c r="B327" s="278">
        <f t="shared" si="15"/>
        <v>0</v>
      </c>
      <c r="C327" s="278" t="str">
        <f t="shared" si="16"/>
        <v>Boyacá</v>
      </c>
      <c r="D327" s="278" t="str">
        <f t="shared" si="17"/>
        <v>Tenza, Boyacá</v>
      </c>
      <c r="E327" s="279">
        <v>15798</v>
      </c>
      <c r="F327" s="280">
        <v>0.2</v>
      </c>
      <c r="G327" s="280">
        <v>0.25</v>
      </c>
      <c r="H327" s="280" t="s">
        <v>322</v>
      </c>
      <c r="I327" s="280">
        <v>0.16</v>
      </c>
      <c r="J327" s="281">
        <v>0.08</v>
      </c>
    </row>
    <row r="328" spans="1:10" x14ac:dyDescent="0.3">
      <c r="A328" s="277" t="s">
        <v>640</v>
      </c>
      <c r="B328" s="278">
        <f t="shared" si="15"/>
        <v>0</v>
      </c>
      <c r="C328" s="278" t="str">
        <f t="shared" si="16"/>
        <v>Boyacá</v>
      </c>
      <c r="D328" s="278" t="str">
        <f t="shared" si="17"/>
        <v>Tibaná, Boyacá</v>
      </c>
      <c r="E328" s="279">
        <v>15804</v>
      </c>
      <c r="F328" s="280">
        <v>0.2</v>
      </c>
      <c r="G328" s="280">
        <v>0.25</v>
      </c>
      <c r="H328" s="280" t="s">
        <v>322</v>
      </c>
      <c r="I328" s="280">
        <v>0.16</v>
      </c>
      <c r="J328" s="281">
        <v>7.0000000000000007E-2</v>
      </c>
    </row>
    <row r="329" spans="1:10" x14ac:dyDescent="0.3">
      <c r="A329" s="277" t="s">
        <v>641</v>
      </c>
      <c r="B329" s="278">
        <f t="shared" si="15"/>
        <v>0</v>
      </c>
      <c r="C329" s="278" t="str">
        <f t="shared" si="16"/>
        <v>Boyacá</v>
      </c>
      <c r="D329" s="278" t="str">
        <f t="shared" si="17"/>
        <v>Tibasosa, Boyacá</v>
      </c>
      <c r="E329" s="279">
        <v>15806</v>
      </c>
      <c r="F329" s="280">
        <v>0.2</v>
      </c>
      <c r="G329" s="280">
        <v>0.25</v>
      </c>
      <c r="H329" s="280" t="s">
        <v>322</v>
      </c>
      <c r="I329" s="280">
        <v>0.16</v>
      </c>
      <c r="J329" s="281">
        <v>0.08</v>
      </c>
    </row>
    <row r="330" spans="1:10" x14ac:dyDescent="0.3">
      <c r="A330" s="277" t="s">
        <v>642</v>
      </c>
      <c r="B330" s="278">
        <f t="shared" si="15"/>
        <v>0</v>
      </c>
      <c r="C330" s="278" t="str">
        <f t="shared" si="16"/>
        <v>Boyacá</v>
      </c>
      <c r="D330" s="278" t="str">
        <f t="shared" si="17"/>
        <v>Tinjacá, Boyacá</v>
      </c>
      <c r="E330" s="279">
        <v>15808</v>
      </c>
      <c r="F330" s="280">
        <v>0.15</v>
      </c>
      <c r="G330" s="280">
        <v>0.2</v>
      </c>
      <c r="H330" s="280" t="s">
        <v>40</v>
      </c>
      <c r="I330" s="280">
        <v>0.09</v>
      </c>
      <c r="J330" s="281">
        <v>0.05</v>
      </c>
    </row>
    <row r="331" spans="1:10" x14ac:dyDescent="0.3">
      <c r="A331" s="277" t="s">
        <v>643</v>
      </c>
      <c r="B331" s="278">
        <f t="shared" si="15"/>
        <v>0</v>
      </c>
      <c r="C331" s="278" t="str">
        <f t="shared" si="16"/>
        <v>Boyacá</v>
      </c>
      <c r="D331" s="278" t="str">
        <f t="shared" si="17"/>
        <v>Tipacoque, Boyacá</v>
      </c>
      <c r="E331" s="279">
        <v>15810</v>
      </c>
      <c r="F331" s="280">
        <v>0.25</v>
      </c>
      <c r="G331" s="280">
        <v>0.25</v>
      </c>
      <c r="H331" s="280" t="s">
        <v>322</v>
      </c>
      <c r="I331" s="280">
        <v>0.15</v>
      </c>
      <c r="J331" s="281">
        <v>7.0000000000000007E-2</v>
      </c>
    </row>
    <row r="332" spans="1:10" x14ac:dyDescent="0.3">
      <c r="A332" s="277" t="s">
        <v>644</v>
      </c>
      <c r="B332" s="278">
        <f t="shared" si="15"/>
        <v>0</v>
      </c>
      <c r="C332" s="278" t="str">
        <f t="shared" si="16"/>
        <v>Boyacá</v>
      </c>
      <c r="D332" s="278" t="str">
        <f t="shared" si="17"/>
        <v>Toca, Boyacá</v>
      </c>
      <c r="E332" s="279">
        <v>15814</v>
      </c>
      <c r="F332" s="280">
        <v>0.2</v>
      </c>
      <c r="G332" s="280">
        <v>0.25</v>
      </c>
      <c r="H332" s="280" t="s">
        <v>322</v>
      </c>
      <c r="I332" s="280">
        <v>0.16</v>
      </c>
      <c r="J332" s="281">
        <v>0.08</v>
      </c>
    </row>
    <row r="333" spans="1:10" x14ac:dyDescent="0.3">
      <c r="A333" s="277" t="s">
        <v>645</v>
      </c>
      <c r="B333" s="278">
        <f t="shared" si="15"/>
        <v>0</v>
      </c>
      <c r="C333" s="278" t="str">
        <f t="shared" si="16"/>
        <v>Boyacá</v>
      </c>
      <c r="D333" s="278" t="str">
        <f t="shared" si="17"/>
        <v>Toguí, Boyacá</v>
      </c>
      <c r="E333" s="279">
        <v>15816</v>
      </c>
      <c r="F333" s="280">
        <v>0.15</v>
      </c>
      <c r="G333" s="280">
        <v>0.2</v>
      </c>
      <c r="H333" s="280" t="s">
        <v>40</v>
      </c>
      <c r="I333" s="280">
        <v>0.1</v>
      </c>
      <c r="J333" s="281">
        <v>0.06</v>
      </c>
    </row>
    <row r="334" spans="1:10" x14ac:dyDescent="0.3">
      <c r="A334" s="277" t="s">
        <v>646</v>
      </c>
      <c r="B334" s="278">
        <f t="shared" si="15"/>
        <v>0</v>
      </c>
      <c r="C334" s="278" t="str">
        <f t="shared" si="16"/>
        <v>Boyacá</v>
      </c>
      <c r="D334" s="278" t="str">
        <f t="shared" si="17"/>
        <v>Tópaga, Boyacá</v>
      </c>
      <c r="E334" s="279">
        <v>15820</v>
      </c>
      <c r="F334" s="280">
        <v>0.25</v>
      </c>
      <c r="G334" s="280">
        <v>0.25</v>
      </c>
      <c r="H334" s="280" t="s">
        <v>322</v>
      </c>
      <c r="I334" s="280">
        <v>0.16</v>
      </c>
      <c r="J334" s="281">
        <v>0.08</v>
      </c>
    </row>
    <row r="335" spans="1:10" x14ac:dyDescent="0.3">
      <c r="A335" s="277" t="s">
        <v>647</v>
      </c>
      <c r="B335" s="278">
        <f t="shared" si="15"/>
        <v>0</v>
      </c>
      <c r="C335" s="278" t="str">
        <f t="shared" si="16"/>
        <v>Boyacá</v>
      </c>
      <c r="D335" s="278" t="str">
        <f t="shared" si="17"/>
        <v>Tota, Boyacá</v>
      </c>
      <c r="E335" s="279">
        <v>15822</v>
      </c>
      <c r="F335" s="280">
        <v>0.2</v>
      </c>
      <c r="G335" s="280">
        <v>0.25</v>
      </c>
      <c r="H335" s="280" t="s">
        <v>322</v>
      </c>
      <c r="I335" s="280">
        <v>0.16</v>
      </c>
      <c r="J335" s="281">
        <v>0.08</v>
      </c>
    </row>
    <row r="336" spans="1:10" x14ac:dyDescent="0.3">
      <c r="A336" s="277" t="s">
        <v>648</v>
      </c>
      <c r="B336" s="278">
        <f t="shared" si="15"/>
        <v>0</v>
      </c>
      <c r="C336" s="278" t="str">
        <f t="shared" si="16"/>
        <v>Boyacá</v>
      </c>
      <c r="D336" s="278" t="str">
        <f t="shared" si="17"/>
        <v>Tunungua, Boyacá</v>
      </c>
      <c r="E336" s="279">
        <v>15832</v>
      </c>
      <c r="F336" s="280">
        <v>0.15</v>
      </c>
      <c r="G336" s="280">
        <v>0.15</v>
      </c>
      <c r="H336" s="280" t="s">
        <v>40</v>
      </c>
      <c r="I336" s="280">
        <v>0.13</v>
      </c>
      <c r="J336" s="281">
        <v>7.0000000000000007E-2</v>
      </c>
    </row>
    <row r="337" spans="1:10" x14ac:dyDescent="0.3">
      <c r="A337" s="277" t="s">
        <v>649</v>
      </c>
      <c r="B337" s="278">
        <f t="shared" si="15"/>
        <v>0</v>
      </c>
      <c r="C337" s="278" t="str">
        <f t="shared" si="16"/>
        <v>Boyacá</v>
      </c>
      <c r="D337" s="278" t="str">
        <f t="shared" si="17"/>
        <v>Turmequé, Boyacá</v>
      </c>
      <c r="E337" s="279">
        <v>15835</v>
      </c>
      <c r="F337" s="280">
        <v>0.2</v>
      </c>
      <c r="G337" s="280">
        <v>0.2</v>
      </c>
      <c r="H337" s="280" t="s">
        <v>40</v>
      </c>
      <c r="I337" s="280">
        <v>0.12</v>
      </c>
      <c r="J337" s="281">
        <v>0.06</v>
      </c>
    </row>
    <row r="338" spans="1:10" x14ac:dyDescent="0.3">
      <c r="A338" s="277" t="s">
        <v>650</v>
      </c>
      <c r="B338" s="278">
        <f t="shared" si="15"/>
        <v>0</v>
      </c>
      <c r="C338" s="278" t="str">
        <f t="shared" si="16"/>
        <v>Boyacá</v>
      </c>
      <c r="D338" s="278" t="str">
        <f t="shared" si="17"/>
        <v>Tuta, Boyacá</v>
      </c>
      <c r="E338" s="279">
        <v>15837</v>
      </c>
      <c r="F338" s="280">
        <v>0.2</v>
      </c>
      <c r="G338" s="280">
        <v>0.25</v>
      </c>
      <c r="H338" s="280" t="s">
        <v>322</v>
      </c>
      <c r="I338" s="280">
        <v>0.14000000000000001</v>
      </c>
      <c r="J338" s="281">
        <v>7.0000000000000007E-2</v>
      </c>
    </row>
    <row r="339" spans="1:10" x14ac:dyDescent="0.3">
      <c r="A339" s="277" t="s">
        <v>651</v>
      </c>
      <c r="B339" s="278">
        <f t="shared" si="15"/>
        <v>0</v>
      </c>
      <c r="C339" s="278" t="str">
        <f t="shared" si="16"/>
        <v>Boyacá</v>
      </c>
      <c r="D339" s="278" t="str">
        <f t="shared" si="17"/>
        <v>Tutazá, Boyacá</v>
      </c>
      <c r="E339" s="279">
        <v>15839</v>
      </c>
      <c r="F339" s="280">
        <v>0.25</v>
      </c>
      <c r="G339" s="280">
        <v>0.25</v>
      </c>
      <c r="H339" s="280" t="s">
        <v>322</v>
      </c>
      <c r="I339" s="280">
        <v>0.16</v>
      </c>
      <c r="J339" s="281">
        <v>0.08</v>
      </c>
    </row>
    <row r="340" spans="1:10" x14ac:dyDescent="0.3">
      <c r="A340" s="277" t="s">
        <v>652</v>
      </c>
      <c r="B340" s="278">
        <f t="shared" si="15"/>
        <v>0</v>
      </c>
      <c r="C340" s="278" t="str">
        <f t="shared" si="16"/>
        <v>Boyacá</v>
      </c>
      <c r="D340" s="278" t="str">
        <f t="shared" si="17"/>
        <v>Úmbita, Boyacá</v>
      </c>
      <c r="E340" s="279">
        <v>15842</v>
      </c>
      <c r="F340" s="280">
        <v>0.2</v>
      </c>
      <c r="G340" s="280">
        <v>0.25</v>
      </c>
      <c r="H340" s="280" t="s">
        <v>322</v>
      </c>
      <c r="I340" s="280">
        <v>0.15</v>
      </c>
      <c r="J340" s="281">
        <v>0.06</v>
      </c>
    </row>
    <row r="341" spans="1:10" x14ac:dyDescent="0.3">
      <c r="A341" s="277" t="s">
        <v>653</v>
      </c>
      <c r="B341" s="278">
        <f t="shared" si="15"/>
        <v>0</v>
      </c>
      <c r="C341" s="278" t="str">
        <f t="shared" si="16"/>
        <v>Boyacá</v>
      </c>
      <c r="D341" s="278" t="str">
        <f t="shared" si="17"/>
        <v>Ventaquemada, Boyacá</v>
      </c>
      <c r="E341" s="279">
        <v>15861</v>
      </c>
      <c r="F341" s="280">
        <v>0.2</v>
      </c>
      <c r="G341" s="280">
        <v>0.2</v>
      </c>
      <c r="H341" s="280" t="s">
        <v>40</v>
      </c>
      <c r="I341" s="280">
        <v>0.11</v>
      </c>
      <c r="J341" s="281">
        <v>0.05</v>
      </c>
    </row>
    <row r="342" spans="1:10" x14ac:dyDescent="0.3">
      <c r="A342" s="277" t="s">
        <v>654</v>
      </c>
      <c r="B342" s="278">
        <f t="shared" si="15"/>
        <v>0</v>
      </c>
      <c r="C342" s="278" t="str">
        <f t="shared" si="16"/>
        <v>Boyacá</v>
      </c>
      <c r="D342" s="278" t="str">
        <f t="shared" si="17"/>
        <v>Villa de Leyva, Boyacá</v>
      </c>
      <c r="E342" s="279">
        <v>15407</v>
      </c>
      <c r="F342" s="280">
        <v>0.2</v>
      </c>
      <c r="G342" s="280">
        <v>0.2</v>
      </c>
      <c r="H342" s="280" t="s">
        <v>40</v>
      </c>
      <c r="I342" s="280">
        <v>0.09</v>
      </c>
      <c r="J342" s="281">
        <v>0.05</v>
      </c>
    </row>
    <row r="343" spans="1:10" x14ac:dyDescent="0.3">
      <c r="A343" s="277" t="s">
        <v>655</v>
      </c>
      <c r="B343" s="278">
        <f t="shared" si="15"/>
        <v>0</v>
      </c>
      <c r="C343" s="278" t="str">
        <f t="shared" si="16"/>
        <v>Boyacá</v>
      </c>
      <c r="D343" s="278" t="str">
        <f t="shared" si="17"/>
        <v>Viracachá, Boyacá</v>
      </c>
      <c r="E343" s="279">
        <v>15879</v>
      </c>
      <c r="F343" s="280">
        <v>0.2</v>
      </c>
      <c r="G343" s="280">
        <v>0.25</v>
      </c>
      <c r="H343" s="280" t="s">
        <v>322</v>
      </c>
      <c r="I343" s="280">
        <v>0.16</v>
      </c>
      <c r="J343" s="281">
        <v>0.08</v>
      </c>
    </row>
    <row r="344" spans="1:10" ht="17.25" thickBot="1" x14ac:dyDescent="0.35">
      <c r="A344" s="294" t="s">
        <v>656</v>
      </c>
      <c r="B344" s="295">
        <f t="shared" si="15"/>
        <v>0</v>
      </c>
      <c r="C344" s="295" t="str">
        <f t="shared" si="16"/>
        <v>Boyacá</v>
      </c>
      <c r="D344" s="295" t="str">
        <f t="shared" si="17"/>
        <v>Zetaquirá, Boyacá</v>
      </c>
      <c r="E344" s="296">
        <v>15897</v>
      </c>
      <c r="F344" s="297">
        <v>0.2</v>
      </c>
      <c r="G344" s="297">
        <v>0.25</v>
      </c>
      <c r="H344" s="297" t="s">
        <v>322</v>
      </c>
      <c r="I344" s="297">
        <v>0.16</v>
      </c>
      <c r="J344" s="298">
        <v>0.08</v>
      </c>
    </row>
    <row r="345" spans="1:10" ht="17.25" thickBot="1" x14ac:dyDescent="0.35">
      <c r="A345" s="299" t="s">
        <v>657</v>
      </c>
      <c r="B345" s="300">
        <f t="shared" si="15"/>
        <v>1</v>
      </c>
      <c r="C345" s="300" t="str">
        <f t="shared" si="16"/>
        <v>Caldas</v>
      </c>
      <c r="D345" s="300" t="str">
        <f t="shared" si="17"/>
        <v/>
      </c>
      <c r="E345" s="301"/>
      <c r="F345" s="302"/>
      <c r="G345" s="302"/>
      <c r="H345" s="302"/>
      <c r="I345" s="302"/>
      <c r="J345" s="303"/>
    </row>
    <row r="346" spans="1:10" x14ac:dyDescent="0.3">
      <c r="A346" s="304" t="s">
        <v>658</v>
      </c>
      <c r="B346" s="305">
        <f t="shared" si="15"/>
        <v>0</v>
      </c>
      <c r="C346" s="305" t="str">
        <f t="shared" si="16"/>
        <v>Caldas</v>
      </c>
      <c r="D346" s="305" t="str">
        <f t="shared" si="17"/>
        <v>Manizales, Caldas</v>
      </c>
      <c r="E346" s="306">
        <v>17001</v>
      </c>
      <c r="F346" s="307">
        <v>0.25</v>
      </c>
      <c r="G346" s="307">
        <v>0.25</v>
      </c>
      <c r="H346" s="307" t="s">
        <v>322</v>
      </c>
      <c r="I346" s="307">
        <v>0.2</v>
      </c>
      <c r="J346" s="308">
        <v>0.1</v>
      </c>
    </row>
    <row r="347" spans="1:10" x14ac:dyDescent="0.3">
      <c r="A347" s="277" t="s">
        <v>659</v>
      </c>
      <c r="B347" s="278">
        <f t="shared" si="15"/>
        <v>0</v>
      </c>
      <c r="C347" s="278" t="str">
        <f t="shared" si="16"/>
        <v>Caldas</v>
      </c>
      <c r="D347" s="278" t="str">
        <f t="shared" si="17"/>
        <v>Aguadas, Caldas</v>
      </c>
      <c r="E347" s="279">
        <v>17013</v>
      </c>
      <c r="F347" s="280">
        <v>0.25</v>
      </c>
      <c r="G347" s="280">
        <v>0.25</v>
      </c>
      <c r="H347" s="280" t="s">
        <v>322</v>
      </c>
      <c r="I347" s="280">
        <v>0.2</v>
      </c>
      <c r="J347" s="281">
        <v>0.1</v>
      </c>
    </row>
    <row r="348" spans="1:10" x14ac:dyDescent="0.3">
      <c r="A348" s="277" t="s">
        <v>660</v>
      </c>
      <c r="B348" s="278">
        <f t="shared" si="15"/>
        <v>0</v>
      </c>
      <c r="C348" s="278" t="str">
        <f t="shared" si="16"/>
        <v>Caldas</v>
      </c>
      <c r="D348" s="278" t="str">
        <f t="shared" si="17"/>
        <v>Anserma, Caldas</v>
      </c>
      <c r="E348" s="279">
        <v>17042</v>
      </c>
      <c r="F348" s="280">
        <v>0.25</v>
      </c>
      <c r="G348" s="280">
        <v>0.3</v>
      </c>
      <c r="H348" s="280" t="s">
        <v>322</v>
      </c>
      <c r="I348" s="280">
        <v>0.2</v>
      </c>
      <c r="J348" s="281">
        <v>0.1</v>
      </c>
    </row>
    <row r="349" spans="1:10" x14ac:dyDescent="0.3">
      <c r="A349" s="277" t="s">
        <v>661</v>
      </c>
      <c r="B349" s="278">
        <f t="shared" si="15"/>
        <v>0</v>
      </c>
      <c r="C349" s="278" t="str">
        <f t="shared" si="16"/>
        <v>Caldas</v>
      </c>
      <c r="D349" s="278" t="str">
        <f t="shared" si="17"/>
        <v>Aranzazu, Caldas</v>
      </c>
      <c r="E349" s="279">
        <v>17050</v>
      </c>
      <c r="F349" s="280">
        <v>0.25</v>
      </c>
      <c r="G349" s="280">
        <v>0.25</v>
      </c>
      <c r="H349" s="280" t="s">
        <v>322</v>
      </c>
      <c r="I349" s="280">
        <v>0.19</v>
      </c>
      <c r="J349" s="281">
        <v>0.09</v>
      </c>
    </row>
    <row r="350" spans="1:10" x14ac:dyDescent="0.3">
      <c r="A350" s="277" t="s">
        <v>662</v>
      </c>
      <c r="B350" s="278">
        <f t="shared" si="15"/>
        <v>0</v>
      </c>
      <c r="C350" s="278" t="str">
        <f t="shared" si="16"/>
        <v>Caldas</v>
      </c>
      <c r="D350" s="278" t="str">
        <f t="shared" si="17"/>
        <v>Belalcázar, Caldas</v>
      </c>
      <c r="E350" s="279">
        <v>17088</v>
      </c>
      <c r="F350" s="280">
        <v>0.25</v>
      </c>
      <c r="G350" s="280">
        <v>0.3</v>
      </c>
      <c r="H350" s="280" t="s">
        <v>322</v>
      </c>
      <c r="I350" s="280">
        <v>0.2</v>
      </c>
      <c r="J350" s="281">
        <v>0.1</v>
      </c>
    </row>
    <row r="351" spans="1:10" x14ac:dyDescent="0.3">
      <c r="A351" s="277" t="s">
        <v>663</v>
      </c>
      <c r="B351" s="278">
        <f t="shared" si="15"/>
        <v>0</v>
      </c>
      <c r="C351" s="278" t="str">
        <f t="shared" si="16"/>
        <v>Caldas</v>
      </c>
      <c r="D351" s="278" t="str">
        <f t="shared" si="17"/>
        <v>Chinchiná, Caldas</v>
      </c>
      <c r="E351" s="279">
        <v>17174</v>
      </c>
      <c r="F351" s="280">
        <v>0.25</v>
      </c>
      <c r="G351" s="280">
        <v>0.25</v>
      </c>
      <c r="H351" s="280" t="s">
        <v>322</v>
      </c>
      <c r="I351" s="280">
        <v>0.2</v>
      </c>
      <c r="J351" s="281">
        <v>0.1</v>
      </c>
    </row>
    <row r="352" spans="1:10" x14ac:dyDescent="0.3">
      <c r="A352" s="277" t="s">
        <v>664</v>
      </c>
      <c r="B352" s="278">
        <f t="shared" si="15"/>
        <v>0</v>
      </c>
      <c r="C352" s="278" t="str">
        <f t="shared" si="16"/>
        <v>Caldas</v>
      </c>
      <c r="D352" s="278" t="str">
        <f t="shared" si="17"/>
        <v>Filadelfia, Caldas</v>
      </c>
      <c r="E352" s="279">
        <v>17272</v>
      </c>
      <c r="F352" s="280">
        <v>0.25</v>
      </c>
      <c r="G352" s="280">
        <v>0.25</v>
      </c>
      <c r="H352" s="280" t="s">
        <v>322</v>
      </c>
      <c r="I352" s="280">
        <v>0.2</v>
      </c>
      <c r="J352" s="281">
        <v>0.1</v>
      </c>
    </row>
    <row r="353" spans="1:10" x14ac:dyDescent="0.3">
      <c r="A353" s="277" t="s">
        <v>665</v>
      </c>
      <c r="B353" s="278">
        <f t="shared" si="15"/>
        <v>0</v>
      </c>
      <c r="C353" s="278" t="str">
        <f t="shared" si="16"/>
        <v>Caldas</v>
      </c>
      <c r="D353" s="278" t="str">
        <f t="shared" si="17"/>
        <v>La Dorada, Caldas</v>
      </c>
      <c r="E353" s="279">
        <v>17380</v>
      </c>
      <c r="F353" s="280">
        <v>0.15</v>
      </c>
      <c r="G353" s="280">
        <v>0.2</v>
      </c>
      <c r="H353" s="280" t="s">
        <v>40</v>
      </c>
      <c r="I353" s="280">
        <v>0.11</v>
      </c>
      <c r="J353" s="281">
        <v>0.06</v>
      </c>
    </row>
    <row r="354" spans="1:10" x14ac:dyDescent="0.3">
      <c r="A354" s="277" t="s">
        <v>666</v>
      </c>
      <c r="B354" s="278">
        <f t="shared" si="15"/>
        <v>0</v>
      </c>
      <c r="C354" s="278" t="str">
        <f t="shared" si="16"/>
        <v>Caldas</v>
      </c>
      <c r="D354" s="278" t="str">
        <f t="shared" si="17"/>
        <v>La Merced, Caldas</v>
      </c>
      <c r="E354" s="279">
        <v>17388</v>
      </c>
      <c r="F354" s="280">
        <v>0.25</v>
      </c>
      <c r="G354" s="280">
        <v>0.25</v>
      </c>
      <c r="H354" s="280" t="s">
        <v>322</v>
      </c>
      <c r="I354" s="280">
        <v>0.21</v>
      </c>
      <c r="J354" s="281">
        <v>0.1</v>
      </c>
    </row>
    <row r="355" spans="1:10" x14ac:dyDescent="0.3">
      <c r="A355" s="277" t="s">
        <v>667</v>
      </c>
      <c r="B355" s="278">
        <f t="shared" si="15"/>
        <v>0</v>
      </c>
      <c r="C355" s="278" t="str">
        <f t="shared" si="16"/>
        <v>Caldas</v>
      </c>
      <c r="D355" s="278" t="str">
        <f t="shared" si="17"/>
        <v>Manzanares, Caldas</v>
      </c>
      <c r="E355" s="279">
        <v>17433</v>
      </c>
      <c r="F355" s="280">
        <v>0.2</v>
      </c>
      <c r="G355" s="280">
        <v>0.2</v>
      </c>
      <c r="H355" s="280" t="s">
        <v>40</v>
      </c>
      <c r="I355" s="280">
        <v>0.2</v>
      </c>
      <c r="J355" s="281">
        <v>0.1</v>
      </c>
    </row>
    <row r="356" spans="1:10" x14ac:dyDescent="0.3">
      <c r="A356" s="277" t="s">
        <v>668</v>
      </c>
      <c r="B356" s="278">
        <f t="shared" si="15"/>
        <v>0</v>
      </c>
      <c r="C356" s="278" t="str">
        <f t="shared" si="16"/>
        <v>Caldas</v>
      </c>
      <c r="D356" s="278" t="str">
        <f t="shared" si="17"/>
        <v>Marmato, Caldas</v>
      </c>
      <c r="E356" s="279">
        <v>17442</v>
      </c>
      <c r="F356" s="280">
        <v>0.25</v>
      </c>
      <c r="G356" s="280">
        <v>0.25</v>
      </c>
      <c r="H356" s="280" t="s">
        <v>322</v>
      </c>
      <c r="I356" s="280">
        <v>0.2</v>
      </c>
      <c r="J356" s="281">
        <v>0.1</v>
      </c>
    </row>
    <row r="357" spans="1:10" x14ac:dyDescent="0.3">
      <c r="A357" s="277" t="s">
        <v>669</v>
      </c>
      <c r="B357" s="278">
        <f t="shared" si="15"/>
        <v>0</v>
      </c>
      <c r="C357" s="278" t="str">
        <f t="shared" si="16"/>
        <v>Caldas</v>
      </c>
      <c r="D357" s="278" t="str">
        <f t="shared" si="17"/>
        <v>Marquetalia, Caldas</v>
      </c>
      <c r="E357" s="279">
        <v>17444</v>
      </c>
      <c r="F357" s="280">
        <v>0.2</v>
      </c>
      <c r="G357" s="280">
        <v>0.2</v>
      </c>
      <c r="H357" s="280" t="s">
        <v>40</v>
      </c>
      <c r="I357" s="280">
        <v>0.17</v>
      </c>
      <c r="J357" s="281">
        <v>0.08</v>
      </c>
    </row>
    <row r="358" spans="1:10" x14ac:dyDescent="0.3">
      <c r="A358" s="277" t="s">
        <v>670</v>
      </c>
      <c r="B358" s="278">
        <f t="shared" si="15"/>
        <v>0</v>
      </c>
      <c r="C358" s="278" t="str">
        <f t="shared" si="16"/>
        <v>Caldas</v>
      </c>
      <c r="D358" s="278" t="str">
        <f t="shared" si="17"/>
        <v>Marulanda, Caldas</v>
      </c>
      <c r="E358" s="279">
        <v>17446</v>
      </c>
      <c r="F358" s="280">
        <v>0.2</v>
      </c>
      <c r="G358" s="280">
        <v>0.25</v>
      </c>
      <c r="H358" s="280" t="s">
        <v>322</v>
      </c>
      <c r="I358" s="280">
        <v>0.18</v>
      </c>
      <c r="J358" s="281">
        <v>0.09</v>
      </c>
    </row>
    <row r="359" spans="1:10" x14ac:dyDescent="0.3">
      <c r="A359" s="277" t="s">
        <v>671</v>
      </c>
      <c r="B359" s="278">
        <f t="shared" si="15"/>
        <v>0</v>
      </c>
      <c r="C359" s="278" t="str">
        <f t="shared" si="16"/>
        <v>Caldas</v>
      </c>
      <c r="D359" s="278" t="str">
        <f t="shared" si="17"/>
        <v>Neira, Caldas</v>
      </c>
      <c r="E359" s="279">
        <v>17486</v>
      </c>
      <c r="F359" s="280">
        <v>0.25</v>
      </c>
      <c r="G359" s="280">
        <v>0.25</v>
      </c>
      <c r="H359" s="280" t="s">
        <v>322</v>
      </c>
      <c r="I359" s="280">
        <v>0.19</v>
      </c>
      <c r="J359" s="281">
        <v>0.1</v>
      </c>
    </row>
    <row r="360" spans="1:10" x14ac:dyDescent="0.3">
      <c r="A360" s="277" t="s">
        <v>672</v>
      </c>
      <c r="B360" s="278">
        <f t="shared" si="15"/>
        <v>0</v>
      </c>
      <c r="C360" s="278" t="str">
        <f t="shared" si="16"/>
        <v>Caldas</v>
      </c>
      <c r="D360" s="278" t="str">
        <f t="shared" si="17"/>
        <v>Norcasia, Caldas</v>
      </c>
      <c r="E360" s="279">
        <v>17495</v>
      </c>
      <c r="F360" s="280">
        <v>0.15</v>
      </c>
      <c r="G360" s="280">
        <v>0.2</v>
      </c>
      <c r="H360" s="280" t="s">
        <v>40</v>
      </c>
      <c r="I360" s="280">
        <v>0.15</v>
      </c>
      <c r="J360" s="281">
        <v>7.0000000000000007E-2</v>
      </c>
    </row>
    <row r="361" spans="1:10" x14ac:dyDescent="0.3">
      <c r="A361" s="277" t="s">
        <v>673</v>
      </c>
      <c r="B361" s="278">
        <f t="shared" si="15"/>
        <v>0</v>
      </c>
      <c r="C361" s="278" t="str">
        <f t="shared" si="16"/>
        <v>Caldas</v>
      </c>
      <c r="D361" s="278" t="str">
        <f t="shared" si="17"/>
        <v>Pácora, Caldas</v>
      </c>
      <c r="E361" s="279">
        <v>17513</v>
      </c>
      <c r="F361" s="280">
        <v>0.25</v>
      </c>
      <c r="G361" s="280">
        <v>0.25</v>
      </c>
      <c r="H361" s="280" t="s">
        <v>322</v>
      </c>
      <c r="I361" s="280">
        <v>0.2</v>
      </c>
      <c r="J361" s="281">
        <v>0.1</v>
      </c>
    </row>
    <row r="362" spans="1:10" x14ac:dyDescent="0.3">
      <c r="A362" s="277" t="s">
        <v>674</v>
      </c>
      <c r="B362" s="278">
        <f t="shared" si="15"/>
        <v>0</v>
      </c>
      <c r="C362" s="278" t="str">
        <f t="shared" si="16"/>
        <v>Caldas</v>
      </c>
      <c r="D362" s="278" t="str">
        <f t="shared" si="17"/>
        <v>Palestina, Caldas</v>
      </c>
      <c r="E362" s="279">
        <v>17524</v>
      </c>
      <c r="F362" s="280">
        <v>0.25</v>
      </c>
      <c r="G362" s="280">
        <v>0.25</v>
      </c>
      <c r="H362" s="280" t="s">
        <v>322</v>
      </c>
      <c r="I362" s="280">
        <v>0.2</v>
      </c>
      <c r="J362" s="281">
        <v>0.1</v>
      </c>
    </row>
    <row r="363" spans="1:10" x14ac:dyDescent="0.3">
      <c r="A363" s="277" t="s">
        <v>675</v>
      </c>
      <c r="B363" s="278">
        <f t="shared" si="15"/>
        <v>0</v>
      </c>
      <c r="C363" s="278" t="str">
        <f t="shared" si="16"/>
        <v>Caldas</v>
      </c>
      <c r="D363" s="278" t="str">
        <f t="shared" si="17"/>
        <v>Pensilvania, Caldas</v>
      </c>
      <c r="E363" s="279">
        <v>17541</v>
      </c>
      <c r="F363" s="280">
        <v>0.2</v>
      </c>
      <c r="G363" s="280">
        <v>0.2</v>
      </c>
      <c r="H363" s="280" t="s">
        <v>40</v>
      </c>
      <c r="I363" s="280">
        <v>0.18</v>
      </c>
      <c r="J363" s="281">
        <v>0.09</v>
      </c>
    </row>
    <row r="364" spans="1:10" x14ac:dyDescent="0.3">
      <c r="A364" s="277" t="s">
        <v>676</v>
      </c>
      <c r="B364" s="278">
        <f t="shared" si="15"/>
        <v>0</v>
      </c>
      <c r="C364" s="278" t="str">
        <f t="shared" si="16"/>
        <v>Caldas</v>
      </c>
      <c r="D364" s="278" t="str">
        <f t="shared" si="17"/>
        <v>Riosucio, Caldas</v>
      </c>
      <c r="E364" s="279">
        <v>17614</v>
      </c>
      <c r="F364" s="280">
        <v>0.25</v>
      </c>
      <c r="G364" s="280">
        <v>0.3</v>
      </c>
      <c r="H364" s="280" t="s">
        <v>322</v>
      </c>
      <c r="I364" s="280">
        <v>0.2</v>
      </c>
      <c r="J364" s="281">
        <v>0.1</v>
      </c>
    </row>
    <row r="365" spans="1:10" x14ac:dyDescent="0.3">
      <c r="A365" s="277" t="s">
        <v>332</v>
      </c>
      <c r="B365" s="278">
        <f t="shared" si="15"/>
        <v>0</v>
      </c>
      <c r="C365" s="278" t="str">
        <f t="shared" si="16"/>
        <v>Caldas</v>
      </c>
      <c r="D365" s="278" t="str">
        <f t="shared" si="17"/>
        <v>Risaralda, Caldas</v>
      </c>
      <c r="E365" s="279">
        <v>17616</v>
      </c>
      <c r="F365" s="280">
        <v>0.25</v>
      </c>
      <c r="G365" s="280">
        <v>0.3</v>
      </c>
      <c r="H365" s="280" t="s">
        <v>322</v>
      </c>
      <c r="I365" s="280">
        <v>0.2</v>
      </c>
      <c r="J365" s="281">
        <v>0.1</v>
      </c>
    </row>
    <row r="366" spans="1:10" x14ac:dyDescent="0.3">
      <c r="A366" s="277" t="s">
        <v>677</v>
      </c>
      <c r="B366" s="278">
        <f t="shared" si="15"/>
        <v>0</v>
      </c>
      <c r="C366" s="278" t="str">
        <f t="shared" si="16"/>
        <v>Caldas</v>
      </c>
      <c r="D366" s="278" t="str">
        <f t="shared" si="17"/>
        <v>Salamina, Caldas</v>
      </c>
      <c r="E366" s="279">
        <v>17653</v>
      </c>
      <c r="F366" s="280">
        <v>0.25</v>
      </c>
      <c r="G366" s="280">
        <v>0.25</v>
      </c>
      <c r="H366" s="280" t="s">
        <v>322</v>
      </c>
      <c r="I366" s="280">
        <v>0.18</v>
      </c>
      <c r="J366" s="281">
        <v>0.09</v>
      </c>
    </row>
    <row r="367" spans="1:10" x14ac:dyDescent="0.3">
      <c r="A367" s="277" t="s">
        <v>678</v>
      </c>
      <c r="B367" s="278">
        <f t="shared" si="15"/>
        <v>0</v>
      </c>
      <c r="C367" s="278" t="str">
        <f t="shared" si="16"/>
        <v>Caldas</v>
      </c>
      <c r="D367" s="278" t="str">
        <f t="shared" si="17"/>
        <v>Samaná, Caldas</v>
      </c>
      <c r="E367" s="279">
        <v>17662</v>
      </c>
      <c r="F367" s="280">
        <v>0.2</v>
      </c>
      <c r="G367" s="280">
        <v>0.2</v>
      </c>
      <c r="H367" s="280" t="s">
        <v>40</v>
      </c>
      <c r="I367" s="280">
        <v>0.19</v>
      </c>
      <c r="J367" s="281">
        <v>0.09</v>
      </c>
    </row>
    <row r="368" spans="1:10" x14ac:dyDescent="0.3">
      <c r="A368" s="277" t="s">
        <v>679</v>
      </c>
      <c r="B368" s="278">
        <f t="shared" si="15"/>
        <v>0</v>
      </c>
      <c r="C368" s="278" t="str">
        <f t="shared" si="16"/>
        <v>Caldas</v>
      </c>
      <c r="D368" s="278" t="str">
        <f t="shared" si="17"/>
        <v>San José, Caldas</v>
      </c>
      <c r="E368" s="279">
        <v>17665</v>
      </c>
      <c r="F368" s="280">
        <v>0.25</v>
      </c>
      <c r="G368" s="280">
        <v>0.3</v>
      </c>
      <c r="H368" s="280" t="s">
        <v>322</v>
      </c>
      <c r="I368" s="280">
        <v>0.2</v>
      </c>
      <c r="J368" s="281">
        <v>0.1</v>
      </c>
    </row>
    <row r="369" spans="1:10" x14ac:dyDescent="0.3">
      <c r="A369" s="277" t="s">
        <v>680</v>
      </c>
      <c r="B369" s="278">
        <f t="shared" si="15"/>
        <v>0</v>
      </c>
      <c r="C369" s="278" t="str">
        <f t="shared" si="16"/>
        <v>Caldas</v>
      </c>
      <c r="D369" s="278" t="str">
        <f t="shared" si="17"/>
        <v>Supía, Caldas</v>
      </c>
      <c r="E369" s="279">
        <v>17777</v>
      </c>
      <c r="F369" s="280">
        <v>0.15</v>
      </c>
      <c r="G369" s="280">
        <v>0.3</v>
      </c>
      <c r="H369" s="280" t="s">
        <v>322</v>
      </c>
      <c r="I369" s="280">
        <v>0.2</v>
      </c>
      <c r="J369" s="281">
        <v>0.1</v>
      </c>
    </row>
    <row r="370" spans="1:10" x14ac:dyDescent="0.3">
      <c r="A370" s="277" t="s">
        <v>681</v>
      </c>
      <c r="B370" s="278">
        <f t="shared" si="15"/>
        <v>0</v>
      </c>
      <c r="C370" s="278" t="str">
        <f t="shared" si="16"/>
        <v>Caldas</v>
      </c>
      <c r="D370" s="278" t="str">
        <f t="shared" si="17"/>
        <v>Victoria, Caldas</v>
      </c>
      <c r="E370" s="279">
        <v>17867</v>
      </c>
      <c r="F370" s="280">
        <v>0.25</v>
      </c>
      <c r="G370" s="280">
        <v>0.2</v>
      </c>
      <c r="H370" s="280" t="s">
        <v>322</v>
      </c>
      <c r="I370" s="280">
        <v>0.13</v>
      </c>
      <c r="J370" s="281">
        <v>0.06</v>
      </c>
    </row>
    <row r="371" spans="1:10" x14ac:dyDescent="0.3">
      <c r="A371" s="277" t="s">
        <v>682</v>
      </c>
      <c r="B371" s="278">
        <f t="shared" si="15"/>
        <v>0</v>
      </c>
      <c r="C371" s="278" t="str">
        <f t="shared" si="16"/>
        <v>Caldas</v>
      </c>
      <c r="D371" s="278" t="str">
        <f t="shared" si="17"/>
        <v>Villamaría, Caldas</v>
      </c>
      <c r="E371" s="279">
        <v>17873</v>
      </c>
      <c r="F371" s="280">
        <v>0.25</v>
      </c>
      <c r="G371" s="280">
        <v>0.25</v>
      </c>
      <c r="H371" s="280" t="s">
        <v>322</v>
      </c>
      <c r="I371" s="280">
        <v>0.18</v>
      </c>
      <c r="J371" s="281">
        <v>0.09</v>
      </c>
    </row>
    <row r="372" spans="1:10" ht="17.25" thickBot="1" x14ac:dyDescent="0.35">
      <c r="A372" s="294" t="s">
        <v>683</v>
      </c>
      <c r="B372" s="295">
        <f t="shared" si="15"/>
        <v>0</v>
      </c>
      <c r="C372" s="295" t="str">
        <f t="shared" si="16"/>
        <v>Caldas</v>
      </c>
      <c r="D372" s="295" t="str">
        <f t="shared" si="17"/>
        <v>Viterbo, Caldas</v>
      </c>
      <c r="E372" s="296">
        <v>17877</v>
      </c>
      <c r="F372" s="297">
        <v>0.25</v>
      </c>
      <c r="G372" s="297">
        <v>0.3</v>
      </c>
      <c r="H372" s="297" t="s">
        <v>322</v>
      </c>
      <c r="I372" s="297">
        <v>0.23</v>
      </c>
      <c r="J372" s="298">
        <v>0.1</v>
      </c>
    </row>
    <row r="373" spans="1:10" ht="17.25" thickBot="1" x14ac:dyDescent="0.35">
      <c r="A373" s="299" t="s">
        <v>684</v>
      </c>
      <c r="B373" s="300">
        <f t="shared" si="15"/>
        <v>1</v>
      </c>
      <c r="C373" s="300" t="str">
        <f t="shared" si="16"/>
        <v>Caquetá</v>
      </c>
      <c r="D373" s="300" t="str">
        <f t="shared" si="17"/>
        <v/>
      </c>
      <c r="E373" s="301"/>
      <c r="F373" s="302"/>
      <c r="G373" s="302"/>
      <c r="H373" s="302"/>
      <c r="I373" s="302"/>
      <c r="J373" s="303"/>
    </row>
    <row r="374" spans="1:10" x14ac:dyDescent="0.3">
      <c r="A374" s="304" t="s">
        <v>685</v>
      </c>
      <c r="B374" s="305">
        <f t="shared" si="15"/>
        <v>0</v>
      </c>
      <c r="C374" s="305" t="str">
        <f t="shared" si="16"/>
        <v>Caquetá</v>
      </c>
      <c r="D374" s="305" t="str">
        <f t="shared" si="17"/>
        <v>Florencia, Caquetá</v>
      </c>
      <c r="E374" s="306">
        <v>18001</v>
      </c>
      <c r="F374" s="307">
        <v>0.2</v>
      </c>
      <c r="G374" s="307">
        <v>0.15</v>
      </c>
      <c r="H374" s="307" t="s">
        <v>40</v>
      </c>
      <c r="I374" s="307">
        <v>0.1</v>
      </c>
      <c r="J374" s="308">
        <v>0.05</v>
      </c>
    </row>
    <row r="375" spans="1:10" x14ac:dyDescent="0.3">
      <c r="A375" s="277" t="s">
        <v>686</v>
      </c>
      <c r="B375" s="278">
        <f t="shared" si="15"/>
        <v>0</v>
      </c>
      <c r="C375" s="278" t="str">
        <f t="shared" si="16"/>
        <v>Caquetá</v>
      </c>
      <c r="D375" s="278" t="str">
        <f t="shared" si="17"/>
        <v>Albania, Caquetá</v>
      </c>
      <c r="E375" s="279">
        <v>18029</v>
      </c>
      <c r="F375" s="280">
        <v>0.15</v>
      </c>
      <c r="G375" s="280">
        <v>0.15</v>
      </c>
      <c r="H375" s="280" t="s">
        <v>40</v>
      </c>
      <c r="I375" s="280">
        <v>0.06</v>
      </c>
      <c r="J375" s="281">
        <v>0.04</v>
      </c>
    </row>
    <row r="376" spans="1:10" x14ac:dyDescent="0.3">
      <c r="A376" s="277" t="s">
        <v>687</v>
      </c>
      <c r="B376" s="278">
        <f t="shared" si="15"/>
        <v>0</v>
      </c>
      <c r="C376" s="278" t="str">
        <f t="shared" si="16"/>
        <v>Caquetá</v>
      </c>
      <c r="D376" s="278" t="str">
        <f t="shared" si="17"/>
        <v>Belén De los Andaquíes, Caquetá</v>
      </c>
      <c r="E376" s="279">
        <v>18094</v>
      </c>
      <c r="F376" s="280">
        <v>0.2</v>
      </c>
      <c r="G376" s="280">
        <v>0.15</v>
      </c>
      <c r="H376" s="280" t="s">
        <v>40</v>
      </c>
      <c r="I376" s="280">
        <v>0.09</v>
      </c>
      <c r="J376" s="281">
        <v>0.05</v>
      </c>
    </row>
    <row r="377" spans="1:10" x14ac:dyDescent="0.3">
      <c r="A377" s="277" t="s">
        <v>688</v>
      </c>
      <c r="B377" s="278">
        <f t="shared" si="15"/>
        <v>0</v>
      </c>
      <c r="C377" s="278" t="str">
        <f t="shared" si="16"/>
        <v>Caquetá</v>
      </c>
      <c r="D377" s="278" t="str">
        <f t="shared" si="17"/>
        <v>Cartagena del Chairá, Caquetá</v>
      </c>
      <c r="E377" s="279">
        <v>18150</v>
      </c>
      <c r="F377" s="280">
        <v>0.05</v>
      </c>
      <c r="G377" s="293">
        <v>0.05</v>
      </c>
      <c r="H377" s="293" t="s">
        <v>295</v>
      </c>
      <c r="I377" s="280">
        <v>0.04</v>
      </c>
      <c r="J377" s="281">
        <v>0.02</v>
      </c>
    </row>
    <row r="378" spans="1:10" x14ac:dyDescent="0.3">
      <c r="A378" s="277" t="s">
        <v>689</v>
      </c>
      <c r="B378" s="278">
        <f t="shared" si="15"/>
        <v>0</v>
      </c>
      <c r="C378" s="278" t="str">
        <f t="shared" si="16"/>
        <v>Caquetá</v>
      </c>
      <c r="D378" s="278" t="str">
        <f t="shared" si="17"/>
        <v>Currillo, Caquetá</v>
      </c>
      <c r="E378" s="279">
        <v>18205</v>
      </c>
      <c r="F378" s="280">
        <v>0.15</v>
      </c>
      <c r="G378" s="280">
        <v>0.2</v>
      </c>
      <c r="H378" s="280" t="s">
        <v>40</v>
      </c>
      <c r="I378" s="280">
        <v>0.06</v>
      </c>
      <c r="J378" s="281">
        <v>0.03</v>
      </c>
    </row>
    <row r="379" spans="1:10" x14ac:dyDescent="0.3">
      <c r="A379" s="277" t="s">
        <v>690</v>
      </c>
      <c r="B379" s="278">
        <f t="shared" si="15"/>
        <v>0</v>
      </c>
      <c r="C379" s="278" t="str">
        <f t="shared" si="16"/>
        <v>Caquetá</v>
      </c>
      <c r="D379" s="278" t="str">
        <f t="shared" si="17"/>
        <v>El Doncello, Caquetá</v>
      </c>
      <c r="E379" s="279">
        <v>18247</v>
      </c>
      <c r="F379" s="280">
        <v>0.15</v>
      </c>
      <c r="G379" s="280">
        <v>0.15</v>
      </c>
      <c r="H379" s="280" t="s">
        <v>40</v>
      </c>
      <c r="I379" s="280">
        <v>0.06</v>
      </c>
      <c r="J379" s="281">
        <v>0.03</v>
      </c>
    </row>
    <row r="380" spans="1:10" x14ac:dyDescent="0.3">
      <c r="A380" s="277" t="s">
        <v>691</v>
      </c>
      <c r="B380" s="278">
        <f t="shared" si="15"/>
        <v>0</v>
      </c>
      <c r="C380" s="278" t="str">
        <f t="shared" si="16"/>
        <v>Caquetá</v>
      </c>
      <c r="D380" s="278" t="str">
        <f t="shared" si="17"/>
        <v>El Paujil, Caquetá</v>
      </c>
      <c r="E380" s="279">
        <v>18256</v>
      </c>
      <c r="F380" s="280">
        <v>0.15</v>
      </c>
      <c r="G380" s="280">
        <v>0.15</v>
      </c>
      <c r="H380" s="280" t="s">
        <v>40</v>
      </c>
      <c r="I380" s="280">
        <v>0.06</v>
      </c>
      <c r="J380" s="281">
        <v>0.03</v>
      </c>
    </row>
    <row r="381" spans="1:10" x14ac:dyDescent="0.3">
      <c r="A381" s="277" t="s">
        <v>692</v>
      </c>
      <c r="B381" s="278">
        <f t="shared" si="15"/>
        <v>0</v>
      </c>
      <c r="C381" s="278" t="str">
        <f t="shared" si="16"/>
        <v>Caquetá</v>
      </c>
      <c r="D381" s="278" t="str">
        <f t="shared" si="17"/>
        <v>La Montañita, Caquetá</v>
      </c>
      <c r="E381" s="279">
        <v>18410</v>
      </c>
      <c r="F381" s="280">
        <v>0.1</v>
      </c>
      <c r="G381" s="280">
        <v>0.15</v>
      </c>
      <c r="H381" s="280" t="s">
        <v>40</v>
      </c>
      <c r="I381" s="280">
        <v>0.05</v>
      </c>
      <c r="J381" s="281">
        <v>0.03</v>
      </c>
    </row>
    <row r="382" spans="1:10" x14ac:dyDescent="0.3">
      <c r="A382" s="277" t="s">
        <v>693</v>
      </c>
      <c r="B382" s="278">
        <f t="shared" si="15"/>
        <v>0</v>
      </c>
      <c r="C382" s="278" t="str">
        <f t="shared" si="16"/>
        <v>Caquetá</v>
      </c>
      <c r="D382" s="278" t="str">
        <f t="shared" si="17"/>
        <v>Milán, Caquetá</v>
      </c>
      <c r="E382" s="279">
        <v>18460</v>
      </c>
      <c r="F382" s="280">
        <v>0.05</v>
      </c>
      <c r="G382" s="280">
        <v>0.15</v>
      </c>
      <c r="H382" s="280" t="s">
        <v>40</v>
      </c>
      <c r="I382" s="280">
        <v>0.04</v>
      </c>
      <c r="J382" s="281">
        <v>0.02</v>
      </c>
    </row>
    <row r="383" spans="1:10" x14ac:dyDescent="0.3">
      <c r="A383" s="277" t="s">
        <v>694</v>
      </c>
      <c r="B383" s="278">
        <f t="shared" si="15"/>
        <v>0</v>
      </c>
      <c r="C383" s="278" t="str">
        <f t="shared" si="16"/>
        <v>Caquetá</v>
      </c>
      <c r="D383" s="278" t="str">
        <f t="shared" si="17"/>
        <v>Morelia, Caquetá</v>
      </c>
      <c r="E383" s="279">
        <v>18479</v>
      </c>
      <c r="F383" s="280">
        <v>0.15</v>
      </c>
      <c r="G383" s="280">
        <v>0.15</v>
      </c>
      <c r="H383" s="280" t="s">
        <v>40</v>
      </c>
      <c r="I383" s="280">
        <v>0.06</v>
      </c>
      <c r="J383" s="281">
        <v>0.03</v>
      </c>
    </row>
    <row r="384" spans="1:10" x14ac:dyDescent="0.3">
      <c r="A384" s="277" t="s">
        <v>695</v>
      </c>
      <c r="B384" s="278">
        <f t="shared" si="15"/>
        <v>0</v>
      </c>
      <c r="C384" s="278" t="str">
        <f t="shared" si="16"/>
        <v>Caquetá</v>
      </c>
      <c r="D384" s="278" t="str">
        <f t="shared" si="17"/>
        <v>Puerto Rico, Caquetá</v>
      </c>
      <c r="E384" s="279">
        <v>18592</v>
      </c>
      <c r="F384" s="280">
        <v>0.15</v>
      </c>
      <c r="G384" s="280">
        <v>0.15</v>
      </c>
      <c r="H384" s="280" t="s">
        <v>40</v>
      </c>
      <c r="I384" s="280">
        <v>7.0000000000000007E-2</v>
      </c>
      <c r="J384" s="281">
        <v>0.03</v>
      </c>
    </row>
    <row r="385" spans="1:10" x14ac:dyDescent="0.3">
      <c r="A385" s="277" t="s">
        <v>696</v>
      </c>
      <c r="B385" s="278">
        <f t="shared" si="15"/>
        <v>0</v>
      </c>
      <c r="C385" s="278" t="str">
        <f t="shared" si="16"/>
        <v>Caquetá</v>
      </c>
      <c r="D385" s="278" t="str">
        <f t="shared" si="17"/>
        <v>San José De La Fragua, Caquetá</v>
      </c>
      <c r="E385" s="279">
        <v>18610</v>
      </c>
      <c r="F385" s="280">
        <v>0.25</v>
      </c>
      <c r="G385" s="280">
        <v>0.2</v>
      </c>
      <c r="H385" s="280" t="s">
        <v>322</v>
      </c>
      <c r="I385" s="280">
        <v>0.09</v>
      </c>
      <c r="J385" s="281">
        <v>0.05</v>
      </c>
    </row>
    <row r="386" spans="1:10" x14ac:dyDescent="0.3">
      <c r="A386" s="277" t="s">
        <v>697</v>
      </c>
      <c r="B386" s="278">
        <f t="shared" si="15"/>
        <v>0</v>
      </c>
      <c r="C386" s="278" t="str">
        <f t="shared" si="16"/>
        <v>Caquetá</v>
      </c>
      <c r="D386" s="278" t="str">
        <f t="shared" si="17"/>
        <v>San Vicente del Caguán, Caquetá</v>
      </c>
      <c r="E386" s="279">
        <v>18753</v>
      </c>
      <c r="F386" s="280">
        <v>0.05</v>
      </c>
      <c r="G386" s="280">
        <v>0.05</v>
      </c>
      <c r="H386" s="280" t="s">
        <v>295</v>
      </c>
      <c r="I386" s="280">
        <v>0.04</v>
      </c>
      <c r="J386" s="281">
        <v>0.02</v>
      </c>
    </row>
    <row r="387" spans="1:10" x14ac:dyDescent="0.3">
      <c r="A387" s="277" t="s">
        <v>698</v>
      </c>
      <c r="B387" s="278">
        <f t="shared" ref="B387:B450" si="18">IFERROR(FIND("Departamento",A387),0)</f>
        <v>0</v>
      </c>
      <c r="C387" s="278" t="str">
        <f t="shared" ref="C387:C450" si="19">IF(B387=1,IF(ISERROR(FIND("del",A387)),MID(A387,17,30),MID(A387,18,30)),C386)</f>
        <v>Caquetá</v>
      </c>
      <c r="D387" s="278" t="str">
        <f t="shared" ref="D387:D450" si="20">IF(B387=1,"",CONCATENATE(A387,", ",C387))</f>
        <v>Solano, Caquetá</v>
      </c>
      <c r="E387" s="279">
        <v>18756</v>
      </c>
      <c r="F387" s="280">
        <v>0.05</v>
      </c>
      <c r="G387" s="280">
        <v>0.05</v>
      </c>
      <c r="H387" s="280" t="s">
        <v>295</v>
      </c>
      <c r="I387" s="280">
        <v>0.04</v>
      </c>
      <c r="J387" s="281">
        <v>0.02</v>
      </c>
    </row>
    <row r="388" spans="1:10" x14ac:dyDescent="0.3">
      <c r="A388" s="277" t="s">
        <v>699</v>
      </c>
      <c r="B388" s="278">
        <f t="shared" si="18"/>
        <v>0</v>
      </c>
      <c r="C388" s="278" t="str">
        <f t="shared" si="19"/>
        <v>Caquetá</v>
      </c>
      <c r="D388" s="278" t="str">
        <f t="shared" si="20"/>
        <v>Solita, Caquetá</v>
      </c>
      <c r="E388" s="279">
        <v>18785</v>
      </c>
      <c r="F388" s="280">
        <v>0.05</v>
      </c>
      <c r="G388" s="280">
        <v>0.15</v>
      </c>
      <c r="H388" s="280" t="s">
        <v>40</v>
      </c>
      <c r="I388" s="280">
        <v>0.04</v>
      </c>
      <c r="J388" s="281">
        <v>0.02</v>
      </c>
    </row>
    <row r="389" spans="1:10" ht="17.25" thickBot="1" x14ac:dyDescent="0.35">
      <c r="A389" s="294" t="s">
        <v>452</v>
      </c>
      <c r="B389" s="295">
        <f t="shared" si="18"/>
        <v>0</v>
      </c>
      <c r="C389" s="295" t="str">
        <f t="shared" si="19"/>
        <v>Caquetá</v>
      </c>
      <c r="D389" s="295" t="str">
        <f t="shared" si="20"/>
        <v>Valparaíso, Caquetá</v>
      </c>
      <c r="E389" s="296">
        <v>18860</v>
      </c>
      <c r="F389" s="297">
        <v>0.05</v>
      </c>
      <c r="G389" s="297">
        <v>0.15</v>
      </c>
      <c r="H389" s="297" t="s">
        <v>40</v>
      </c>
      <c r="I389" s="297">
        <v>0.04</v>
      </c>
      <c r="J389" s="298">
        <v>0.03</v>
      </c>
    </row>
    <row r="390" spans="1:10" ht="17.25" thickBot="1" x14ac:dyDescent="0.35">
      <c r="A390" s="299" t="s">
        <v>700</v>
      </c>
      <c r="B390" s="300">
        <f t="shared" si="18"/>
        <v>1</v>
      </c>
      <c r="C390" s="300" t="str">
        <f t="shared" si="19"/>
        <v>Casanare</v>
      </c>
      <c r="D390" s="300" t="str">
        <f t="shared" si="20"/>
        <v/>
      </c>
      <c r="E390" s="301"/>
      <c r="F390" s="302"/>
      <c r="G390" s="302"/>
      <c r="H390" s="302"/>
      <c r="I390" s="302"/>
      <c r="J390" s="303"/>
    </row>
    <row r="391" spans="1:10" x14ac:dyDescent="0.3">
      <c r="A391" s="304" t="s">
        <v>701</v>
      </c>
      <c r="B391" s="305">
        <f t="shared" si="18"/>
        <v>0</v>
      </c>
      <c r="C391" s="305" t="str">
        <f t="shared" si="19"/>
        <v>Casanare</v>
      </c>
      <c r="D391" s="305" t="str">
        <f t="shared" si="20"/>
        <v>Yopal, Casanare</v>
      </c>
      <c r="E391" s="306">
        <v>85001</v>
      </c>
      <c r="F391" s="307">
        <v>0.3</v>
      </c>
      <c r="G391" s="307">
        <v>0.2</v>
      </c>
      <c r="H391" s="307" t="s">
        <v>322</v>
      </c>
      <c r="I391" s="307">
        <v>0.15</v>
      </c>
      <c r="J391" s="308">
        <v>0.06</v>
      </c>
    </row>
    <row r="392" spans="1:10" x14ac:dyDescent="0.3">
      <c r="A392" s="277" t="s">
        <v>702</v>
      </c>
      <c r="B392" s="278">
        <f t="shared" si="18"/>
        <v>0</v>
      </c>
      <c r="C392" s="278" t="str">
        <f t="shared" si="19"/>
        <v>Casanare</v>
      </c>
      <c r="D392" s="278" t="str">
        <f t="shared" si="20"/>
        <v>Aguazul, Casanare</v>
      </c>
      <c r="E392" s="279">
        <v>85010</v>
      </c>
      <c r="F392" s="280">
        <v>0.3</v>
      </c>
      <c r="G392" s="280">
        <v>0.2</v>
      </c>
      <c r="H392" s="280" t="s">
        <v>322</v>
      </c>
      <c r="I392" s="280">
        <v>0.14000000000000001</v>
      </c>
      <c r="J392" s="281">
        <v>0.06</v>
      </c>
    </row>
    <row r="393" spans="1:10" x14ac:dyDescent="0.3">
      <c r="A393" s="277" t="s">
        <v>703</v>
      </c>
      <c r="B393" s="278">
        <f t="shared" si="18"/>
        <v>0</v>
      </c>
      <c r="C393" s="278" t="str">
        <f t="shared" si="19"/>
        <v>Casanare</v>
      </c>
      <c r="D393" s="278" t="str">
        <f t="shared" si="20"/>
        <v>Chámeza, Casanare</v>
      </c>
      <c r="E393" s="279">
        <v>85015</v>
      </c>
      <c r="F393" s="280">
        <v>0.3</v>
      </c>
      <c r="G393" s="280">
        <v>0.3</v>
      </c>
      <c r="H393" s="280" t="s">
        <v>322</v>
      </c>
      <c r="I393" s="280">
        <v>0.16</v>
      </c>
      <c r="J393" s="281">
        <v>0.08</v>
      </c>
    </row>
    <row r="394" spans="1:10" x14ac:dyDescent="0.3">
      <c r="A394" s="277" t="s">
        <v>704</v>
      </c>
      <c r="B394" s="278">
        <f t="shared" si="18"/>
        <v>0</v>
      </c>
      <c r="C394" s="278" t="str">
        <f t="shared" si="19"/>
        <v>Casanare</v>
      </c>
      <c r="D394" s="278" t="str">
        <f t="shared" si="20"/>
        <v>Hato Corozal, Casanare</v>
      </c>
      <c r="E394" s="279">
        <v>85125</v>
      </c>
      <c r="F394" s="280">
        <v>0.15</v>
      </c>
      <c r="G394" s="280">
        <v>0.15</v>
      </c>
      <c r="H394" s="280" t="s">
        <v>40</v>
      </c>
      <c r="I394" s="280">
        <v>0.08</v>
      </c>
      <c r="J394" s="281">
        <v>0.04</v>
      </c>
    </row>
    <row r="395" spans="1:10" x14ac:dyDescent="0.3">
      <c r="A395" s="277" t="s">
        <v>705</v>
      </c>
      <c r="B395" s="278">
        <f t="shared" si="18"/>
        <v>0</v>
      </c>
      <c r="C395" s="278" t="str">
        <f t="shared" si="19"/>
        <v>Casanare</v>
      </c>
      <c r="D395" s="278" t="str">
        <f t="shared" si="20"/>
        <v>La Salina, Casanare</v>
      </c>
      <c r="E395" s="279">
        <v>85136</v>
      </c>
      <c r="F395" s="280">
        <v>0.3</v>
      </c>
      <c r="G395" s="280">
        <v>0.3</v>
      </c>
      <c r="H395" s="280" t="s">
        <v>322</v>
      </c>
      <c r="I395" s="280">
        <v>0.16</v>
      </c>
      <c r="J395" s="281">
        <v>0.08</v>
      </c>
    </row>
    <row r="396" spans="1:10" x14ac:dyDescent="0.3">
      <c r="A396" s="277" t="s">
        <v>706</v>
      </c>
      <c r="B396" s="278">
        <f t="shared" si="18"/>
        <v>0</v>
      </c>
      <c r="C396" s="278" t="str">
        <f t="shared" si="19"/>
        <v>Casanare</v>
      </c>
      <c r="D396" s="278" t="str">
        <f t="shared" si="20"/>
        <v>Maní, Casanare</v>
      </c>
      <c r="E396" s="279">
        <v>85139</v>
      </c>
      <c r="F396" s="280">
        <v>0.1</v>
      </c>
      <c r="G396" s="280">
        <v>0.15</v>
      </c>
      <c r="H396" s="280" t="s">
        <v>40</v>
      </c>
      <c r="I396" s="280">
        <v>0.04</v>
      </c>
      <c r="J396" s="281">
        <v>0.02</v>
      </c>
    </row>
    <row r="397" spans="1:10" x14ac:dyDescent="0.3">
      <c r="A397" s="277" t="s">
        <v>707</v>
      </c>
      <c r="B397" s="278">
        <f t="shared" si="18"/>
        <v>0</v>
      </c>
      <c r="C397" s="278" t="str">
        <f t="shared" si="19"/>
        <v>Casanare</v>
      </c>
      <c r="D397" s="278" t="str">
        <f t="shared" si="20"/>
        <v>Monterrey, Casanare</v>
      </c>
      <c r="E397" s="279">
        <v>85162</v>
      </c>
      <c r="F397" s="280">
        <v>0.3</v>
      </c>
      <c r="G397" s="280">
        <v>0.25</v>
      </c>
      <c r="H397" s="280" t="s">
        <v>322</v>
      </c>
      <c r="I397" s="280">
        <v>0.11</v>
      </c>
      <c r="J397" s="281">
        <v>0.05</v>
      </c>
    </row>
    <row r="398" spans="1:10" x14ac:dyDescent="0.3">
      <c r="A398" s="277" t="s">
        <v>708</v>
      </c>
      <c r="B398" s="278">
        <f t="shared" si="18"/>
        <v>0</v>
      </c>
      <c r="C398" s="278" t="str">
        <f t="shared" si="19"/>
        <v>Casanare</v>
      </c>
      <c r="D398" s="278" t="str">
        <f t="shared" si="20"/>
        <v>Nunchía, Casanare</v>
      </c>
      <c r="E398" s="279">
        <v>85225</v>
      </c>
      <c r="F398" s="280">
        <v>0.2</v>
      </c>
      <c r="G398" s="280">
        <v>0.2</v>
      </c>
      <c r="H398" s="280" t="s">
        <v>40</v>
      </c>
      <c r="I398" s="280">
        <v>0.09</v>
      </c>
      <c r="J398" s="281">
        <v>0.04</v>
      </c>
    </row>
    <row r="399" spans="1:10" x14ac:dyDescent="0.3">
      <c r="A399" s="277" t="s">
        <v>709</v>
      </c>
      <c r="B399" s="278">
        <f t="shared" si="18"/>
        <v>0</v>
      </c>
      <c r="C399" s="278" t="str">
        <f t="shared" si="19"/>
        <v>Casanare</v>
      </c>
      <c r="D399" s="278" t="str">
        <f t="shared" si="20"/>
        <v>Orocué, Casanare</v>
      </c>
      <c r="E399" s="279">
        <v>85230</v>
      </c>
      <c r="F399" s="280">
        <v>0.05</v>
      </c>
      <c r="G399" s="280">
        <v>0.15</v>
      </c>
      <c r="H399" s="280" t="s">
        <v>40</v>
      </c>
      <c r="I399" s="280">
        <v>0.04</v>
      </c>
      <c r="J399" s="281">
        <v>0.02</v>
      </c>
    </row>
    <row r="400" spans="1:10" x14ac:dyDescent="0.3">
      <c r="A400" s="277" t="s">
        <v>710</v>
      </c>
      <c r="B400" s="278">
        <f t="shared" si="18"/>
        <v>0</v>
      </c>
      <c r="C400" s="278" t="str">
        <f t="shared" si="19"/>
        <v>Casanare</v>
      </c>
      <c r="D400" s="278" t="str">
        <f t="shared" si="20"/>
        <v>Paz De Ariporo, Casanare</v>
      </c>
      <c r="E400" s="279">
        <v>85250</v>
      </c>
      <c r="F400" s="280">
        <v>0.05</v>
      </c>
      <c r="G400" s="280">
        <v>0.15</v>
      </c>
      <c r="H400" s="280" t="s">
        <v>40</v>
      </c>
      <c r="I400" s="280">
        <v>0.04</v>
      </c>
      <c r="J400" s="281">
        <v>0.02</v>
      </c>
    </row>
    <row r="401" spans="1:10" x14ac:dyDescent="0.3">
      <c r="A401" s="277" t="s">
        <v>711</v>
      </c>
      <c r="B401" s="278">
        <f t="shared" si="18"/>
        <v>0</v>
      </c>
      <c r="C401" s="278" t="str">
        <f t="shared" si="19"/>
        <v>Casanare</v>
      </c>
      <c r="D401" s="278" t="str">
        <f t="shared" si="20"/>
        <v>Pore, Casanare</v>
      </c>
      <c r="E401" s="279">
        <v>85263</v>
      </c>
      <c r="F401" s="280">
        <v>0.2</v>
      </c>
      <c r="G401" s="280">
        <v>0.2</v>
      </c>
      <c r="H401" s="280" t="s">
        <v>40</v>
      </c>
      <c r="I401" s="280">
        <v>0.08</v>
      </c>
      <c r="J401" s="281">
        <v>0.04</v>
      </c>
    </row>
    <row r="402" spans="1:10" x14ac:dyDescent="0.3">
      <c r="A402" s="277" t="s">
        <v>712</v>
      </c>
      <c r="B402" s="278">
        <f t="shared" si="18"/>
        <v>0</v>
      </c>
      <c r="C402" s="278" t="str">
        <f t="shared" si="19"/>
        <v>Casanare</v>
      </c>
      <c r="D402" s="278" t="str">
        <f t="shared" si="20"/>
        <v>Recetor, Casanare</v>
      </c>
      <c r="E402" s="279">
        <v>85279</v>
      </c>
      <c r="F402" s="280">
        <v>0.3</v>
      </c>
      <c r="G402" s="280">
        <v>0.3</v>
      </c>
      <c r="H402" s="280" t="s">
        <v>322</v>
      </c>
      <c r="I402" s="280">
        <v>0.16</v>
      </c>
      <c r="J402" s="281">
        <v>0.08</v>
      </c>
    </row>
    <row r="403" spans="1:10" x14ac:dyDescent="0.3">
      <c r="A403" s="277" t="s">
        <v>420</v>
      </c>
      <c r="B403" s="278">
        <f t="shared" si="18"/>
        <v>0</v>
      </c>
      <c r="C403" s="278" t="str">
        <f t="shared" si="19"/>
        <v>Casanare</v>
      </c>
      <c r="D403" s="278" t="str">
        <f t="shared" si="20"/>
        <v>Sabanalarga, Casanare</v>
      </c>
      <c r="E403" s="279">
        <v>85300</v>
      </c>
      <c r="F403" s="280">
        <v>0.35</v>
      </c>
      <c r="G403" s="280">
        <v>0.3</v>
      </c>
      <c r="H403" s="280" t="s">
        <v>322</v>
      </c>
      <c r="I403" s="280">
        <v>0.13</v>
      </c>
      <c r="J403" s="281">
        <v>0.05</v>
      </c>
    </row>
    <row r="404" spans="1:10" x14ac:dyDescent="0.3">
      <c r="A404" s="277" t="s">
        <v>713</v>
      </c>
      <c r="B404" s="278">
        <f t="shared" si="18"/>
        <v>0</v>
      </c>
      <c r="C404" s="278" t="str">
        <f t="shared" si="19"/>
        <v>Casanare</v>
      </c>
      <c r="D404" s="278" t="str">
        <f t="shared" si="20"/>
        <v>Sácama, Casanare</v>
      </c>
      <c r="E404" s="279">
        <v>85315</v>
      </c>
      <c r="F404" s="280">
        <v>0.35</v>
      </c>
      <c r="G404" s="280">
        <v>0.25</v>
      </c>
      <c r="H404" s="280" t="s">
        <v>322</v>
      </c>
      <c r="I404" s="280">
        <v>0.16</v>
      </c>
      <c r="J404" s="281">
        <v>0.08</v>
      </c>
    </row>
    <row r="405" spans="1:10" x14ac:dyDescent="0.3">
      <c r="A405" s="277" t="s">
        <v>714</v>
      </c>
      <c r="B405" s="278">
        <f t="shared" si="18"/>
        <v>0</v>
      </c>
      <c r="C405" s="278" t="str">
        <f t="shared" si="19"/>
        <v>Casanare</v>
      </c>
      <c r="D405" s="278" t="str">
        <f t="shared" si="20"/>
        <v>San Luis De Palenque, Casanare</v>
      </c>
      <c r="E405" s="279">
        <v>85325</v>
      </c>
      <c r="F405" s="280">
        <v>0.1</v>
      </c>
      <c r="G405" s="280">
        <v>0.15</v>
      </c>
      <c r="H405" s="280" t="s">
        <v>40</v>
      </c>
      <c r="I405" s="280">
        <v>0.04</v>
      </c>
      <c r="J405" s="281">
        <v>0.02</v>
      </c>
    </row>
    <row r="406" spans="1:10" x14ac:dyDescent="0.3">
      <c r="A406" s="277" t="s">
        <v>715</v>
      </c>
      <c r="B406" s="278">
        <f t="shared" si="18"/>
        <v>0</v>
      </c>
      <c r="C406" s="278" t="str">
        <f t="shared" si="19"/>
        <v>Casanare</v>
      </c>
      <c r="D406" s="278" t="str">
        <f t="shared" si="20"/>
        <v>Támara, Casanare</v>
      </c>
      <c r="E406" s="279">
        <v>85400</v>
      </c>
      <c r="F406" s="280">
        <v>0.35</v>
      </c>
      <c r="G406" s="280">
        <v>0.2</v>
      </c>
      <c r="H406" s="280" t="s">
        <v>322</v>
      </c>
      <c r="I406" s="280">
        <v>0.16</v>
      </c>
      <c r="J406" s="281">
        <v>0.08</v>
      </c>
    </row>
    <row r="407" spans="1:10" x14ac:dyDescent="0.3">
      <c r="A407" s="277" t="s">
        <v>716</v>
      </c>
      <c r="B407" s="278">
        <f t="shared" si="18"/>
        <v>0</v>
      </c>
      <c r="C407" s="278" t="str">
        <f t="shared" si="19"/>
        <v>Casanare</v>
      </c>
      <c r="D407" s="278" t="str">
        <f t="shared" si="20"/>
        <v>Tauramena, Casanare</v>
      </c>
      <c r="E407" s="279">
        <v>85410</v>
      </c>
      <c r="F407" s="280">
        <v>0.15</v>
      </c>
      <c r="G407" s="280">
        <v>0.2</v>
      </c>
      <c r="H407" s="280" t="s">
        <v>40</v>
      </c>
      <c r="I407" s="280">
        <v>0.06</v>
      </c>
      <c r="J407" s="281">
        <v>0.03</v>
      </c>
    </row>
    <row r="408" spans="1:10" x14ac:dyDescent="0.3">
      <c r="A408" s="277" t="s">
        <v>717</v>
      </c>
      <c r="B408" s="278">
        <f t="shared" si="18"/>
        <v>0</v>
      </c>
      <c r="C408" s="278" t="str">
        <f t="shared" si="19"/>
        <v>Casanare</v>
      </c>
      <c r="D408" s="278" t="str">
        <f t="shared" si="20"/>
        <v>Trinidad, Casanare</v>
      </c>
      <c r="E408" s="279">
        <v>85430</v>
      </c>
      <c r="F408" s="280">
        <v>0.05</v>
      </c>
      <c r="G408" s="280">
        <v>0.15</v>
      </c>
      <c r="H408" s="280" t="s">
        <v>40</v>
      </c>
      <c r="I408" s="280">
        <v>0.04</v>
      </c>
      <c r="J408" s="281">
        <v>0.02</v>
      </c>
    </row>
    <row r="409" spans="1:10" ht="17.25" thickBot="1" x14ac:dyDescent="0.35">
      <c r="A409" s="294" t="s">
        <v>536</v>
      </c>
      <c r="B409" s="295">
        <f t="shared" si="18"/>
        <v>0</v>
      </c>
      <c r="C409" s="295" t="str">
        <f t="shared" si="19"/>
        <v>Casanare</v>
      </c>
      <c r="D409" s="295" t="str">
        <f t="shared" si="20"/>
        <v>Villanueva, Casanare</v>
      </c>
      <c r="E409" s="296">
        <v>85440</v>
      </c>
      <c r="F409" s="297">
        <v>0.2</v>
      </c>
      <c r="G409" s="297">
        <v>0.2</v>
      </c>
      <c r="H409" s="297" t="s">
        <v>40</v>
      </c>
      <c r="I409" s="297">
        <v>0.06</v>
      </c>
      <c r="J409" s="298">
        <v>0.03</v>
      </c>
    </row>
    <row r="410" spans="1:10" ht="17.25" thickBot="1" x14ac:dyDescent="0.35">
      <c r="A410" s="299" t="s">
        <v>718</v>
      </c>
      <c r="B410" s="300">
        <f t="shared" si="18"/>
        <v>1</v>
      </c>
      <c r="C410" s="300" t="str">
        <f t="shared" si="19"/>
        <v>Cauca</v>
      </c>
      <c r="D410" s="300" t="str">
        <f t="shared" si="20"/>
        <v/>
      </c>
      <c r="E410" s="301"/>
      <c r="F410" s="302"/>
      <c r="G410" s="302"/>
      <c r="H410" s="302"/>
      <c r="I410" s="302"/>
      <c r="J410" s="303"/>
    </row>
    <row r="411" spans="1:10" ht="17.25" thickBot="1" x14ac:dyDescent="0.35">
      <c r="A411" s="309" t="s">
        <v>719</v>
      </c>
      <c r="B411" s="310">
        <f t="shared" si="18"/>
        <v>0</v>
      </c>
      <c r="C411" s="310" t="str">
        <f t="shared" si="19"/>
        <v>Cauca</v>
      </c>
      <c r="D411" s="310" t="str">
        <f t="shared" si="20"/>
        <v>Popayán, Cauca</v>
      </c>
      <c r="E411" s="311">
        <v>19001</v>
      </c>
      <c r="F411" s="312">
        <v>0.25</v>
      </c>
      <c r="G411" s="312">
        <v>0.2</v>
      </c>
      <c r="H411" s="312" t="s">
        <v>322</v>
      </c>
      <c r="I411" s="312">
        <v>0.15</v>
      </c>
      <c r="J411" s="313">
        <v>0.08</v>
      </c>
    </row>
    <row r="412" spans="1:10" ht="17.25" thickBot="1" x14ac:dyDescent="0.35">
      <c r="A412" s="314" t="s">
        <v>720</v>
      </c>
      <c r="B412" s="315">
        <f t="shared" si="18"/>
        <v>0</v>
      </c>
      <c r="C412" s="315" t="str">
        <f t="shared" si="19"/>
        <v>Cauca</v>
      </c>
      <c r="D412" s="315" t="str">
        <f t="shared" si="20"/>
        <v>Almaguer, Cauca</v>
      </c>
      <c r="E412" s="311">
        <v>19022</v>
      </c>
      <c r="F412" s="312">
        <v>0.25</v>
      </c>
      <c r="G412" s="312">
        <v>0.25</v>
      </c>
      <c r="H412" s="312" t="s">
        <v>322</v>
      </c>
      <c r="I412" s="312">
        <v>0.16</v>
      </c>
      <c r="J412" s="313">
        <v>0.08</v>
      </c>
    </row>
    <row r="413" spans="1:10" ht="17.25" thickBot="1" x14ac:dyDescent="0.35">
      <c r="A413" s="314" t="s">
        <v>345</v>
      </c>
      <c r="B413" s="315">
        <f t="shared" si="18"/>
        <v>0</v>
      </c>
      <c r="C413" s="315" t="str">
        <f t="shared" si="19"/>
        <v>Cauca</v>
      </c>
      <c r="D413" s="315" t="str">
        <f t="shared" si="20"/>
        <v>Argelia, Cauca</v>
      </c>
      <c r="E413" s="311">
        <v>19050</v>
      </c>
      <c r="F413" s="312">
        <v>0.35</v>
      </c>
      <c r="G413" s="312">
        <v>0.25</v>
      </c>
      <c r="H413" s="312" t="s">
        <v>322</v>
      </c>
      <c r="I413" s="312">
        <v>0.09</v>
      </c>
      <c r="J413" s="313">
        <v>0.06</v>
      </c>
    </row>
    <row r="414" spans="1:10" ht="17.25" thickBot="1" x14ac:dyDescent="0.35">
      <c r="A414" s="314" t="s">
        <v>721</v>
      </c>
      <c r="B414" s="315">
        <f t="shared" si="18"/>
        <v>0</v>
      </c>
      <c r="C414" s="315" t="str">
        <f t="shared" si="19"/>
        <v>Cauca</v>
      </c>
      <c r="D414" s="315" t="str">
        <f t="shared" si="20"/>
        <v>Balboa, Cauca</v>
      </c>
      <c r="E414" s="311">
        <v>19075</v>
      </c>
      <c r="F414" s="312">
        <v>0.3</v>
      </c>
      <c r="G414" s="312">
        <v>0.25</v>
      </c>
      <c r="H414" s="312" t="s">
        <v>322</v>
      </c>
      <c r="I414" s="312">
        <v>0.16</v>
      </c>
      <c r="J414" s="313">
        <v>0.08</v>
      </c>
    </row>
    <row r="415" spans="1:10" ht="17.25" thickBot="1" x14ac:dyDescent="0.35">
      <c r="A415" s="314" t="s">
        <v>300</v>
      </c>
      <c r="B415" s="315">
        <f t="shared" si="18"/>
        <v>0</v>
      </c>
      <c r="C415" s="315" t="str">
        <f t="shared" si="19"/>
        <v>Cauca</v>
      </c>
      <c r="D415" s="315" t="str">
        <f t="shared" si="20"/>
        <v>Bolívar, Cauca</v>
      </c>
      <c r="E415" s="311">
        <v>19100</v>
      </c>
      <c r="F415" s="312">
        <v>0.25</v>
      </c>
      <c r="G415" s="312">
        <v>0.25</v>
      </c>
      <c r="H415" s="312" t="s">
        <v>322</v>
      </c>
      <c r="I415" s="312">
        <v>0.15</v>
      </c>
      <c r="J415" s="313">
        <v>7.0000000000000007E-2</v>
      </c>
    </row>
    <row r="416" spans="1:10" ht="17.25" thickBot="1" x14ac:dyDescent="0.35">
      <c r="A416" s="314" t="s">
        <v>722</v>
      </c>
      <c r="B416" s="315">
        <f t="shared" si="18"/>
        <v>0</v>
      </c>
      <c r="C416" s="315" t="str">
        <f t="shared" si="19"/>
        <v>Cauca</v>
      </c>
      <c r="D416" s="315" t="str">
        <f t="shared" si="20"/>
        <v>Buenos Aires, Cauca</v>
      </c>
      <c r="E416" s="311">
        <v>19110</v>
      </c>
      <c r="F416" s="312">
        <v>0.25</v>
      </c>
      <c r="G416" s="312">
        <v>0.2</v>
      </c>
      <c r="H416" s="312" t="s">
        <v>322</v>
      </c>
      <c r="I416" s="312">
        <v>0.16</v>
      </c>
      <c r="J416" s="313">
        <v>0.08</v>
      </c>
    </row>
    <row r="417" spans="1:10" ht="17.25" thickBot="1" x14ac:dyDescent="0.35">
      <c r="A417" s="314" t="s">
        <v>723</v>
      </c>
      <c r="B417" s="315">
        <f t="shared" si="18"/>
        <v>0</v>
      </c>
      <c r="C417" s="315" t="str">
        <f t="shared" si="19"/>
        <v>Cauca</v>
      </c>
      <c r="D417" s="315" t="str">
        <f t="shared" si="20"/>
        <v>Cajibío, Cauca</v>
      </c>
      <c r="E417" s="311">
        <v>19130</v>
      </c>
      <c r="F417" s="312">
        <v>0.25</v>
      </c>
      <c r="G417" s="312">
        <v>0.2</v>
      </c>
      <c r="H417" s="312" t="s">
        <v>322</v>
      </c>
      <c r="I417" s="312">
        <v>0.15</v>
      </c>
      <c r="J417" s="313">
        <v>0.08</v>
      </c>
    </row>
    <row r="418" spans="1:10" ht="17.25" thickBot="1" x14ac:dyDescent="0.35">
      <c r="A418" s="314" t="s">
        <v>724</v>
      </c>
      <c r="B418" s="315">
        <f t="shared" si="18"/>
        <v>0</v>
      </c>
      <c r="C418" s="315" t="str">
        <f t="shared" si="19"/>
        <v>Cauca</v>
      </c>
      <c r="D418" s="315" t="str">
        <f t="shared" si="20"/>
        <v>Caldonó, Cauca</v>
      </c>
      <c r="E418" s="311">
        <v>19137</v>
      </c>
      <c r="F418" s="312">
        <v>0.25</v>
      </c>
      <c r="G418" s="312">
        <v>0.2</v>
      </c>
      <c r="H418" s="312" t="s">
        <v>322</v>
      </c>
      <c r="I418" s="312">
        <v>0.16</v>
      </c>
      <c r="J418" s="313">
        <v>7.0000000000000007E-2</v>
      </c>
    </row>
    <row r="419" spans="1:10" ht="17.25" thickBot="1" x14ac:dyDescent="0.35">
      <c r="A419" s="314" t="s">
        <v>725</v>
      </c>
      <c r="B419" s="315">
        <f t="shared" si="18"/>
        <v>0</v>
      </c>
      <c r="C419" s="315" t="str">
        <f t="shared" si="19"/>
        <v>Cauca</v>
      </c>
      <c r="D419" s="315" t="str">
        <f t="shared" si="20"/>
        <v>Caloto, Cauca</v>
      </c>
      <c r="E419" s="311">
        <v>19142</v>
      </c>
      <c r="F419" s="312">
        <v>0.25</v>
      </c>
      <c r="G419" s="312">
        <v>0.2</v>
      </c>
      <c r="H419" s="312" t="s">
        <v>322</v>
      </c>
      <c r="I419" s="312">
        <v>0.16</v>
      </c>
      <c r="J419" s="313">
        <v>7.0000000000000007E-2</v>
      </c>
    </row>
    <row r="420" spans="1:10" ht="17.25" thickBot="1" x14ac:dyDescent="0.35">
      <c r="A420" s="314" t="s">
        <v>726</v>
      </c>
      <c r="B420" s="315">
        <f t="shared" si="18"/>
        <v>0</v>
      </c>
      <c r="C420" s="315" t="str">
        <f t="shared" si="19"/>
        <v>Cauca</v>
      </c>
      <c r="D420" s="315" t="str">
        <f t="shared" si="20"/>
        <v>Corinto, Cauca</v>
      </c>
      <c r="E420" s="311">
        <v>19212</v>
      </c>
      <c r="F420" s="312">
        <v>0.25</v>
      </c>
      <c r="G420" s="312">
        <v>0.2</v>
      </c>
      <c r="H420" s="312" t="s">
        <v>322</v>
      </c>
      <c r="I420" s="312">
        <v>0.12</v>
      </c>
      <c r="J420" s="313">
        <v>0.06</v>
      </c>
    </row>
    <row r="421" spans="1:10" ht="17.25" thickBot="1" x14ac:dyDescent="0.35">
      <c r="A421" s="314" t="s">
        <v>727</v>
      </c>
      <c r="B421" s="315">
        <f t="shared" si="18"/>
        <v>0</v>
      </c>
      <c r="C421" s="315" t="str">
        <f t="shared" si="19"/>
        <v>Cauca</v>
      </c>
      <c r="D421" s="315" t="str">
        <f t="shared" si="20"/>
        <v>El Tambo, Cauca</v>
      </c>
      <c r="E421" s="311">
        <v>19256</v>
      </c>
      <c r="F421" s="312">
        <v>0.3</v>
      </c>
      <c r="G421" s="312">
        <v>0.25</v>
      </c>
      <c r="H421" s="312" t="s">
        <v>322</v>
      </c>
      <c r="I421" s="312">
        <v>0.14000000000000001</v>
      </c>
      <c r="J421" s="313">
        <v>0.08</v>
      </c>
    </row>
    <row r="422" spans="1:10" ht="17.25" thickBot="1" x14ac:dyDescent="0.35">
      <c r="A422" s="314" t="s">
        <v>685</v>
      </c>
      <c r="B422" s="315">
        <f t="shared" si="18"/>
        <v>0</v>
      </c>
      <c r="C422" s="315" t="str">
        <f t="shared" si="19"/>
        <v>Cauca</v>
      </c>
      <c r="D422" s="315" t="str">
        <f t="shared" si="20"/>
        <v>Florencia, Cauca</v>
      </c>
      <c r="E422" s="311">
        <v>19290</v>
      </c>
      <c r="F422" s="312">
        <v>0.25</v>
      </c>
      <c r="G422" s="312">
        <v>0.25</v>
      </c>
      <c r="H422" s="312" t="s">
        <v>322</v>
      </c>
      <c r="I422" s="312">
        <v>0.14000000000000001</v>
      </c>
      <c r="J422" s="313">
        <v>7.0000000000000007E-2</v>
      </c>
    </row>
    <row r="423" spans="1:10" ht="17.25" thickBot="1" x14ac:dyDescent="0.35">
      <c r="A423" s="314" t="s">
        <v>728</v>
      </c>
      <c r="B423" s="315">
        <f t="shared" si="18"/>
        <v>0</v>
      </c>
      <c r="C423" s="315" t="str">
        <f t="shared" si="19"/>
        <v>Cauca</v>
      </c>
      <c r="D423" s="315" t="str">
        <f t="shared" si="20"/>
        <v>Guapí, Cauca</v>
      </c>
      <c r="E423" s="311">
        <v>19318</v>
      </c>
      <c r="F423" s="312">
        <v>0.4</v>
      </c>
      <c r="G423" s="312">
        <v>0.35</v>
      </c>
      <c r="H423" s="312" t="s">
        <v>322</v>
      </c>
      <c r="I423" s="312">
        <v>0.14000000000000001</v>
      </c>
      <c r="J423" s="313">
        <v>0.08</v>
      </c>
    </row>
    <row r="424" spans="1:10" ht="17.25" thickBot="1" x14ac:dyDescent="0.35">
      <c r="A424" s="314" t="s">
        <v>729</v>
      </c>
      <c r="B424" s="315">
        <f t="shared" si="18"/>
        <v>0</v>
      </c>
      <c r="C424" s="315" t="str">
        <f t="shared" si="19"/>
        <v>Cauca</v>
      </c>
      <c r="D424" s="315" t="str">
        <f t="shared" si="20"/>
        <v>Inzá, Cauca</v>
      </c>
      <c r="E424" s="311">
        <v>19355</v>
      </c>
      <c r="F424" s="312">
        <v>0.25</v>
      </c>
      <c r="G424" s="312">
        <v>0.2</v>
      </c>
      <c r="H424" s="312" t="s">
        <v>322</v>
      </c>
      <c r="I424" s="312">
        <v>0.12</v>
      </c>
      <c r="J424" s="313">
        <v>0.06</v>
      </c>
    </row>
    <row r="425" spans="1:10" ht="17.25" thickBot="1" x14ac:dyDescent="0.35">
      <c r="A425" s="314" t="s">
        <v>730</v>
      </c>
      <c r="B425" s="315">
        <f t="shared" si="18"/>
        <v>0</v>
      </c>
      <c r="C425" s="315" t="str">
        <f t="shared" si="19"/>
        <v>Cauca</v>
      </c>
      <c r="D425" s="315" t="str">
        <f t="shared" si="20"/>
        <v>Jambaló, Cauca</v>
      </c>
      <c r="E425" s="311">
        <v>19364</v>
      </c>
      <c r="F425" s="312">
        <v>0.25</v>
      </c>
      <c r="G425" s="312">
        <v>0.2</v>
      </c>
      <c r="H425" s="312" t="s">
        <v>322</v>
      </c>
      <c r="I425" s="312">
        <v>0.11</v>
      </c>
      <c r="J425" s="313">
        <v>0.06</v>
      </c>
    </row>
    <row r="426" spans="1:10" ht="17.25" thickBot="1" x14ac:dyDescent="0.35">
      <c r="A426" s="314" t="s">
        <v>731</v>
      </c>
      <c r="B426" s="315">
        <f t="shared" si="18"/>
        <v>0</v>
      </c>
      <c r="C426" s="315" t="str">
        <f t="shared" si="19"/>
        <v>Cauca</v>
      </c>
      <c r="D426" s="315" t="str">
        <f t="shared" si="20"/>
        <v>La Sierra, Cauca</v>
      </c>
      <c r="E426" s="311">
        <v>19392</v>
      </c>
      <c r="F426" s="312">
        <v>0.25</v>
      </c>
      <c r="G426" s="312">
        <v>0.2</v>
      </c>
      <c r="H426" s="312" t="s">
        <v>322</v>
      </c>
      <c r="I426" s="312">
        <v>0.16</v>
      </c>
      <c r="J426" s="313">
        <v>0.08</v>
      </c>
    </row>
    <row r="427" spans="1:10" ht="17.25" thickBot="1" x14ac:dyDescent="0.35">
      <c r="A427" s="314" t="s">
        <v>732</v>
      </c>
      <c r="B427" s="315">
        <f t="shared" si="18"/>
        <v>0</v>
      </c>
      <c r="C427" s="315" t="str">
        <f t="shared" si="19"/>
        <v>Cauca</v>
      </c>
      <c r="D427" s="315" t="str">
        <f t="shared" si="20"/>
        <v>La Vega, Cauca</v>
      </c>
      <c r="E427" s="311">
        <v>19397</v>
      </c>
      <c r="F427" s="312">
        <v>0.25</v>
      </c>
      <c r="G427" s="312">
        <v>0.2</v>
      </c>
      <c r="H427" s="312" t="s">
        <v>322</v>
      </c>
      <c r="I427" s="312">
        <v>0.16</v>
      </c>
      <c r="J427" s="313">
        <v>7.0000000000000007E-2</v>
      </c>
    </row>
    <row r="428" spans="1:10" ht="17.25" thickBot="1" x14ac:dyDescent="0.35">
      <c r="A428" s="314" t="s">
        <v>733</v>
      </c>
      <c r="B428" s="315">
        <f t="shared" si="18"/>
        <v>0</v>
      </c>
      <c r="C428" s="315" t="str">
        <f t="shared" si="19"/>
        <v>Cauca</v>
      </c>
      <c r="D428" s="315" t="str">
        <f t="shared" si="20"/>
        <v>López, Cauca</v>
      </c>
      <c r="E428" s="311">
        <v>19418</v>
      </c>
      <c r="F428" s="312">
        <v>0.4</v>
      </c>
      <c r="G428" s="312">
        <v>0.3</v>
      </c>
      <c r="H428" s="312" t="s">
        <v>322</v>
      </c>
      <c r="I428" s="312">
        <v>0.14000000000000001</v>
      </c>
      <c r="J428" s="313">
        <v>7.0000000000000007E-2</v>
      </c>
    </row>
    <row r="429" spans="1:10" ht="17.25" thickBot="1" x14ac:dyDescent="0.35">
      <c r="A429" s="314" t="s">
        <v>734</v>
      </c>
      <c r="B429" s="315">
        <f t="shared" si="18"/>
        <v>0</v>
      </c>
      <c r="C429" s="315" t="str">
        <f t="shared" si="19"/>
        <v>Cauca</v>
      </c>
      <c r="D429" s="315" t="str">
        <f t="shared" si="20"/>
        <v>Mercaderes, Cauca</v>
      </c>
      <c r="E429" s="311">
        <v>19450</v>
      </c>
      <c r="F429" s="312">
        <v>0.25</v>
      </c>
      <c r="G429" s="312">
        <v>0.25</v>
      </c>
      <c r="H429" s="312" t="s">
        <v>322</v>
      </c>
      <c r="I429" s="312">
        <v>0.15</v>
      </c>
      <c r="J429" s="313">
        <v>0.08</v>
      </c>
    </row>
    <row r="430" spans="1:10" ht="17.25" thickBot="1" x14ac:dyDescent="0.35">
      <c r="A430" s="314" t="s">
        <v>735</v>
      </c>
      <c r="B430" s="315">
        <f t="shared" si="18"/>
        <v>0</v>
      </c>
      <c r="C430" s="315" t="str">
        <f t="shared" si="19"/>
        <v>Cauca</v>
      </c>
      <c r="D430" s="315" t="str">
        <f t="shared" si="20"/>
        <v>Miranda, Cauca</v>
      </c>
      <c r="E430" s="311">
        <v>19455</v>
      </c>
      <c r="F430" s="312">
        <v>0.25</v>
      </c>
      <c r="G430" s="312">
        <v>0.2</v>
      </c>
      <c r="H430" s="312" t="s">
        <v>322</v>
      </c>
      <c r="I430" s="312">
        <v>0.13</v>
      </c>
      <c r="J430" s="313">
        <v>0.06</v>
      </c>
    </row>
    <row r="431" spans="1:10" ht="17.25" thickBot="1" x14ac:dyDescent="0.35">
      <c r="A431" s="314" t="s">
        <v>515</v>
      </c>
      <c r="B431" s="315">
        <f t="shared" si="18"/>
        <v>0</v>
      </c>
      <c r="C431" s="315" t="str">
        <f t="shared" si="19"/>
        <v>Cauca</v>
      </c>
      <c r="D431" s="315" t="str">
        <f t="shared" si="20"/>
        <v>Morales, Cauca</v>
      </c>
      <c r="E431" s="311">
        <v>19473</v>
      </c>
      <c r="F431" s="312">
        <v>0.25</v>
      </c>
      <c r="G431" s="312">
        <v>0.2</v>
      </c>
      <c r="H431" s="312" t="s">
        <v>322</v>
      </c>
      <c r="I431" s="312">
        <v>0.16</v>
      </c>
      <c r="J431" s="313">
        <v>0.08</v>
      </c>
    </row>
    <row r="432" spans="1:10" ht="17.25" thickBot="1" x14ac:dyDescent="0.35">
      <c r="A432" s="314" t="s">
        <v>736</v>
      </c>
      <c r="B432" s="315">
        <f t="shared" si="18"/>
        <v>0</v>
      </c>
      <c r="C432" s="315" t="str">
        <f t="shared" si="19"/>
        <v>Cauca</v>
      </c>
      <c r="D432" s="315" t="str">
        <f t="shared" si="20"/>
        <v>Padilla, Cauca</v>
      </c>
      <c r="E432" s="311">
        <v>19513</v>
      </c>
      <c r="F432" s="312">
        <v>0.25</v>
      </c>
      <c r="G432" s="312">
        <v>0.2</v>
      </c>
      <c r="H432" s="312" t="s">
        <v>322</v>
      </c>
      <c r="I432" s="312">
        <v>0.16</v>
      </c>
      <c r="J432" s="313">
        <v>7.0000000000000007E-2</v>
      </c>
    </row>
    <row r="433" spans="1:10" ht="17.25" thickBot="1" x14ac:dyDescent="0.35">
      <c r="A433" s="314" t="s">
        <v>597</v>
      </c>
      <c r="B433" s="315">
        <f t="shared" si="18"/>
        <v>0</v>
      </c>
      <c r="C433" s="315" t="str">
        <f t="shared" si="19"/>
        <v>Cauca</v>
      </c>
      <c r="D433" s="315" t="str">
        <f t="shared" si="20"/>
        <v>Páez, Cauca</v>
      </c>
      <c r="E433" s="311">
        <v>19517</v>
      </c>
      <c r="F433" s="312">
        <v>0.25</v>
      </c>
      <c r="G433" s="312">
        <v>0.2</v>
      </c>
      <c r="H433" s="312" t="s">
        <v>322</v>
      </c>
      <c r="I433" s="312">
        <v>0.11</v>
      </c>
      <c r="J433" s="313">
        <v>0.05</v>
      </c>
    </row>
    <row r="434" spans="1:10" ht="17.25" thickBot="1" x14ac:dyDescent="0.35">
      <c r="A434" s="314" t="s">
        <v>737</v>
      </c>
      <c r="B434" s="315">
        <f t="shared" si="18"/>
        <v>0</v>
      </c>
      <c r="C434" s="315" t="str">
        <f t="shared" si="19"/>
        <v>Cauca</v>
      </c>
      <c r="D434" s="315" t="str">
        <f t="shared" si="20"/>
        <v>Patía, Cauca</v>
      </c>
      <c r="E434" s="311">
        <v>19532</v>
      </c>
      <c r="F434" s="312">
        <v>0.25</v>
      </c>
      <c r="G434" s="312">
        <v>0.25</v>
      </c>
      <c r="H434" s="312" t="s">
        <v>322</v>
      </c>
      <c r="I434" s="312">
        <v>0.16</v>
      </c>
      <c r="J434" s="313">
        <v>0.08</v>
      </c>
    </row>
    <row r="435" spans="1:10" ht="17.25" thickBot="1" x14ac:dyDescent="0.35">
      <c r="A435" s="314" t="s">
        <v>738</v>
      </c>
      <c r="B435" s="315">
        <f t="shared" si="18"/>
        <v>0</v>
      </c>
      <c r="C435" s="315" t="str">
        <f t="shared" si="19"/>
        <v>Cauca</v>
      </c>
      <c r="D435" s="315" t="str">
        <f t="shared" si="20"/>
        <v>Piamonte, Cauca</v>
      </c>
      <c r="E435" s="311">
        <v>19533</v>
      </c>
      <c r="F435" s="312">
        <v>0.25</v>
      </c>
      <c r="G435" s="312">
        <v>0.25</v>
      </c>
      <c r="H435" s="312" t="s">
        <v>322</v>
      </c>
      <c r="I435" s="312">
        <v>0.09</v>
      </c>
      <c r="J435" s="313">
        <v>0.05</v>
      </c>
    </row>
    <row r="436" spans="1:10" ht="17.25" thickBot="1" x14ac:dyDescent="0.35">
      <c r="A436" s="314" t="s">
        <v>739</v>
      </c>
      <c r="B436" s="315">
        <f t="shared" si="18"/>
        <v>0</v>
      </c>
      <c r="C436" s="315" t="str">
        <f t="shared" si="19"/>
        <v>Cauca</v>
      </c>
      <c r="D436" s="315" t="str">
        <f t="shared" si="20"/>
        <v>Piendamó, Cauca</v>
      </c>
      <c r="E436" s="311">
        <v>19548</v>
      </c>
      <c r="F436" s="312">
        <v>0.25</v>
      </c>
      <c r="G436" s="312">
        <v>0.2</v>
      </c>
      <c r="H436" s="312" t="s">
        <v>322</v>
      </c>
      <c r="I436" s="312">
        <v>0.16</v>
      </c>
      <c r="J436" s="313">
        <v>0.08</v>
      </c>
    </row>
    <row r="437" spans="1:10" ht="17.25" thickBot="1" x14ac:dyDescent="0.35">
      <c r="A437" s="314" t="s">
        <v>740</v>
      </c>
      <c r="B437" s="315">
        <f t="shared" si="18"/>
        <v>0</v>
      </c>
      <c r="C437" s="315" t="str">
        <f t="shared" si="19"/>
        <v>Cauca</v>
      </c>
      <c r="D437" s="315" t="str">
        <f t="shared" si="20"/>
        <v>Puerto Tejada, Cauca</v>
      </c>
      <c r="E437" s="311">
        <v>19573</v>
      </c>
      <c r="F437" s="312">
        <v>0.25</v>
      </c>
      <c r="G437" s="312">
        <v>0.2</v>
      </c>
      <c r="H437" s="312" t="s">
        <v>322</v>
      </c>
      <c r="I437" s="312">
        <v>0.13</v>
      </c>
      <c r="J437" s="313">
        <v>0.08</v>
      </c>
    </row>
    <row r="438" spans="1:10" ht="17.25" thickBot="1" x14ac:dyDescent="0.35">
      <c r="A438" s="314" t="s">
        <v>741</v>
      </c>
      <c r="B438" s="315">
        <f t="shared" si="18"/>
        <v>0</v>
      </c>
      <c r="C438" s="315" t="str">
        <f t="shared" si="19"/>
        <v>Cauca</v>
      </c>
      <c r="D438" s="315" t="str">
        <f t="shared" si="20"/>
        <v>Puracé, Cauca</v>
      </c>
      <c r="E438" s="311">
        <v>19585</v>
      </c>
      <c r="F438" s="312">
        <v>0.25</v>
      </c>
      <c r="G438" s="312">
        <v>0.2</v>
      </c>
      <c r="H438" s="312" t="s">
        <v>322</v>
      </c>
      <c r="I438" s="312">
        <v>0.12</v>
      </c>
      <c r="J438" s="313">
        <v>0.06</v>
      </c>
    </row>
    <row r="439" spans="1:10" ht="17.25" thickBot="1" x14ac:dyDescent="0.35">
      <c r="A439" s="314" t="s">
        <v>742</v>
      </c>
      <c r="B439" s="315">
        <f t="shared" si="18"/>
        <v>0</v>
      </c>
      <c r="C439" s="315" t="str">
        <f t="shared" si="19"/>
        <v>Cauca</v>
      </c>
      <c r="D439" s="315" t="str">
        <f t="shared" si="20"/>
        <v>Rosas, Cauca</v>
      </c>
      <c r="E439" s="311">
        <v>19622</v>
      </c>
      <c r="F439" s="312">
        <v>0.25</v>
      </c>
      <c r="G439" s="312">
        <v>0.2</v>
      </c>
      <c r="H439" s="312" t="s">
        <v>322</v>
      </c>
      <c r="I439" s="312">
        <v>0.16</v>
      </c>
      <c r="J439" s="313">
        <v>0.08</v>
      </c>
    </row>
    <row r="440" spans="1:10" ht="17.25" thickBot="1" x14ac:dyDescent="0.35">
      <c r="A440" s="314" t="s">
        <v>743</v>
      </c>
      <c r="B440" s="315">
        <f t="shared" si="18"/>
        <v>0</v>
      </c>
      <c r="C440" s="315" t="str">
        <f t="shared" si="19"/>
        <v>Cauca</v>
      </c>
      <c r="D440" s="315" t="str">
        <f t="shared" si="20"/>
        <v>San Sebastián, Cauca</v>
      </c>
      <c r="E440" s="311">
        <v>19693</v>
      </c>
      <c r="F440" s="312">
        <v>0.25</v>
      </c>
      <c r="G440" s="312">
        <v>0.25</v>
      </c>
      <c r="H440" s="312" t="s">
        <v>322</v>
      </c>
      <c r="I440" s="312">
        <v>0.15</v>
      </c>
      <c r="J440" s="313">
        <v>7.0000000000000007E-2</v>
      </c>
    </row>
    <row r="441" spans="1:10" ht="17.25" thickBot="1" x14ac:dyDescent="0.35">
      <c r="A441" s="314" t="s">
        <v>528</v>
      </c>
      <c r="B441" s="315">
        <f t="shared" si="18"/>
        <v>0</v>
      </c>
      <c r="C441" s="315" t="str">
        <f t="shared" si="19"/>
        <v>Cauca</v>
      </c>
      <c r="D441" s="315" t="str">
        <f t="shared" si="20"/>
        <v>Santa Rosa, Cauca</v>
      </c>
      <c r="E441" s="311">
        <v>19701</v>
      </c>
      <c r="F441" s="312">
        <v>0.25</v>
      </c>
      <c r="G441" s="312">
        <v>0.25</v>
      </c>
      <c r="H441" s="312" t="s">
        <v>322</v>
      </c>
      <c r="I441" s="312">
        <v>0.16</v>
      </c>
      <c r="J441" s="313">
        <v>0.08</v>
      </c>
    </row>
    <row r="442" spans="1:10" ht="17.25" thickBot="1" x14ac:dyDescent="0.35">
      <c r="A442" s="314" t="s">
        <v>744</v>
      </c>
      <c r="B442" s="315">
        <f t="shared" si="18"/>
        <v>0</v>
      </c>
      <c r="C442" s="315" t="str">
        <f t="shared" si="19"/>
        <v>Cauca</v>
      </c>
      <c r="D442" s="315" t="str">
        <f t="shared" si="20"/>
        <v>Santander De Quilichao, Cauca</v>
      </c>
      <c r="E442" s="311">
        <v>19698</v>
      </c>
      <c r="F442" s="312">
        <v>0.25</v>
      </c>
      <c r="G442" s="312">
        <v>0.2</v>
      </c>
      <c r="H442" s="312" t="s">
        <v>322</v>
      </c>
      <c r="I442" s="312">
        <v>0.14000000000000001</v>
      </c>
      <c r="J442" s="313">
        <v>0.08</v>
      </c>
    </row>
    <row r="443" spans="1:10" ht="17.25" thickBot="1" x14ac:dyDescent="0.35">
      <c r="A443" s="314" t="s">
        <v>745</v>
      </c>
      <c r="B443" s="315">
        <f t="shared" si="18"/>
        <v>0</v>
      </c>
      <c r="C443" s="315" t="str">
        <f t="shared" si="19"/>
        <v>Cauca</v>
      </c>
      <c r="D443" s="315" t="str">
        <f t="shared" si="20"/>
        <v>Silvia, Cauca</v>
      </c>
      <c r="E443" s="311">
        <v>19743</v>
      </c>
      <c r="F443" s="312">
        <v>0.25</v>
      </c>
      <c r="G443" s="312">
        <v>0.2</v>
      </c>
      <c r="H443" s="312" t="s">
        <v>322</v>
      </c>
      <c r="I443" s="312">
        <v>0.1</v>
      </c>
      <c r="J443" s="313">
        <v>0.05</v>
      </c>
    </row>
    <row r="444" spans="1:10" ht="17.25" thickBot="1" x14ac:dyDescent="0.35">
      <c r="A444" s="314" t="s">
        <v>746</v>
      </c>
      <c r="B444" s="315">
        <f t="shared" si="18"/>
        <v>0</v>
      </c>
      <c r="C444" s="315" t="str">
        <f t="shared" si="19"/>
        <v>Cauca</v>
      </c>
      <c r="D444" s="315" t="str">
        <f t="shared" si="20"/>
        <v>Sotará, Cauca</v>
      </c>
      <c r="E444" s="311">
        <v>19760</v>
      </c>
      <c r="F444" s="312">
        <v>0.25</v>
      </c>
      <c r="G444" s="312">
        <v>0.2</v>
      </c>
      <c r="H444" s="312" t="s">
        <v>322</v>
      </c>
      <c r="I444" s="312">
        <v>0.13</v>
      </c>
      <c r="J444" s="313">
        <v>7.0000000000000007E-2</v>
      </c>
    </row>
    <row r="445" spans="1:10" ht="17.25" thickBot="1" x14ac:dyDescent="0.35">
      <c r="A445" s="314" t="s">
        <v>747</v>
      </c>
      <c r="B445" s="315">
        <f t="shared" si="18"/>
        <v>0</v>
      </c>
      <c r="C445" s="315" t="str">
        <f t="shared" si="19"/>
        <v>Cauca</v>
      </c>
      <c r="D445" s="315" t="str">
        <f t="shared" si="20"/>
        <v>Suárez, Cauca</v>
      </c>
      <c r="E445" s="311">
        <v>19780</v>
      </c>
      <c r="F445" s="312">
        <v>0.25</v>
      </c>
      <c r="G445" s="312">
        <v>0.2</v>
      </c>
      <c r="H445" s="312" t="s">
        <v>322</v>
      </c>
      <c r="I445" s="312">
        <v>0.16</v>
      </c>
      <c r="J445" s="313">
        <v>0.08</v>
      </c>
    </row>
    <row r="446" spans="1:10" ht="17.25" thickBot="1" x14ac:dyDescent="0.35">
      <c r="A446" s="314" t="s">
        <v>336</v>
      </c>
      <c r="B446" s="315">
        <f t="shared" si="18"/>
        <v>0</v>
      </c>
      <c r="C446" s="315" t="str">
        <f t="shared" si="19"/>
        <v>Cauca</v>
      </c>
      <c r="D446" s="315" t="str">
        <f t="shared" si="20"/>
        <v>Sucre, Cauca</v>
      </c>
      <c r="E446" s="311">
        <v>19785</v>
      </c>
      <c r="F446" s="312">
        <v>0.25</v>
      </c>
      <c r="G446" s="312">
        <v>0.25</v>
      </c>
      <c r="H446" s="312" t="s">
        <v>322</v>
      </c>
      <c r="I446" s="312">
        <v>0.14000000000000001</v>
      </c>
      <c r="J446" s="313">
        <v>0.08</v>
      </c>
    </row>
    <row r="447" spans="1:10" ht="17.25" thickBot="1" x14ac:dyDescent="0.35">
      <c r="A447" s="314" t="s">
        <v>748</v>
      </c>
      <c r="B447" s="315">
        <f t="shared" si="18"/>
        <v>0</v>
      </c>
      <c r="C447" s="315" t="str">
        <f t="shared" si="19"/>
        <v>Cauca</v>
      </c>
      <c r="D447" s="315" t="str">
        <f t="shared" si="20"/>
        <v>Timbío, Cauca</v>
      </c>
      <c r="E447" s="311">
        <v>19807</v>
      </c>
      <c r="F447" s="312">
        <v>0.25</v>
      </c>
      <c r="G447" s="312">
        <v>0.2</v>
      </c>
      <c r="H447" s="312" t="s">
        <v>322</v>
      </c>
      <c r="I447" s="312">
        <v>0.16</v>
      </c>
      <c r="J447" s="313">
        <v>0.08</v>
      </c>
    </row>
    <row r="448" spans="1:10" ht="17.25" thickBot="1" x14ac:dyDescent="0.35">
      <c r="A448" s="314" t="s">
        <v>749</v>
      </c>
      <c r="B448" s="315">
        <f t="shared" si="18"/>
        <v>0</v>
      </c>
      <c r="C448" s="315" t="str">
        <f t="shared" si="19"/>
        <v>Cauca</v>
      </c>
      <c r="D448" s="315" t="str">
        <f t="shared" si="20"/>
        <v>Timbiquí, Cauca</v>
      </c>
      <c r="E448" s="311">
        <v>19809</v>
      </c>
      <c r="F448" s="312">
        <v>0.4</v>
      </c>
      <c r="G448" s="312">
        <v>0.3</v>
      </c>
      <c r="H448" s="312" t="s">
        <v>322</v>
      </c>
      <c r="I448" s="312">
        <v>0.14000000000000001</v>
      </c>
      <c r="J448" s="313">
        <v>0.08</v>
      </c>
    </row>
    <row r="449" spans="1:10" ht="17.25" thickBot="1" x14ac:dyDescent="0.35">
      <c r="A449" s="314" t="s">
        <v>750</v>
      </c>
      <c r="B449" s="315">
        <f t="shared" si="18"/>
        <v>0</v>
      </c>
      <c r="C449" s="315" t="str">
        <f t="shared" si="19"/>
        <v>Cauca</v>
      </c>
      <c r="D449" s="315" t="str">
        <f t="shared" si="20"/>
        <v>Toribío, Cauca</v>
      </c>
      <c r="E449" s="311">
        <v>19821</v>
      </c>
      <c r="F449" s="312">
        <v>0.25</v>
      </c>
      <c r="G449" s="312">
        <v>0.2</v>
      </c>
      <c r="H449" s="312" t="s">
        <v>322</v>
      </c>
      <c r="I449" s="312">
        <v>0.09</v>
      </c>
      <c r="J449" s="313">
        <v>0.05</v>
      </c>
    </row>
    <row r="450" spans="1:10" ht="17.25" thickBot="1" x14ac:dyDescent="0.35">
      <c r="A450" s="314" t="s">
        <v>751</v>
      </c>
      <c r="B450" s="315">
        <f t="shared" si="18"/>
        <v>0</v>
      </c>
      <c r="C450" s="315" t="str">
        <f t="shared" si="19"/>
        <v>Cauca</v>
      </c>
      <c r="D450" s="315" t="str">
        <f t="shared" si="20"/>
        <v>Totoró, Cauca</v>
      </c>
      <c r="E450" s="311">
        <v>19824</v>
      </c>
      <c r="F450" s="312">
        <v>0.25</v>
      </c>
      <c r="G450" s="312">
        <v>0.2</v>
      </c>
      <c r="H450" s="312" t="s">
        <v>322</v>
      </c>
      <c r="I450" s="312">
        <v>0.1</v>
      </c>
      <c r="J450" s="313">
        <v>0.05</v>
      </c>
    </row>
    <row r="451" spans="1:10" ht="17.25" thickBot="1" x14ac:dyDescent="0.35">
      <c r="A451" s="314" t="s">
        <v>752</v>
      </c>
      <c r="B451" s="315">
        <f t="shared" ref="B451:B514" si="21">IFERROR(FIND("Departamento",A451),0)</f>
        <v>0</v>
      </c>
      <c r="C451" s="315" t="str">
        <f t="shared" ref="C451:C514" si="22">IF(B451=1,IF(ISERROR(FIND("del",A451)),MID(A451,17,30),MID(A451,18,30)),C450)</f>
        <v>Cauca</v>
      </c>
      <c r="D451" s="315" t="str">
        <f t="shared" ref="D451:D514" si="23">IF(B451=1,"",CONCATENATE(A451,", ",C451))</f>
        <v>Villa Rica, Cauca</v>
      </c>
      <c r="E451" s="311">
        <v>19845</v>
      </c>
      <c r="F451" s="312">
        <v>0.25</v>
      </c>
      <c r="G451" s="312">
        <v>0.2</v>
      </c>
      <c r="H451" s="312" t="s">
        <v>322</v>
      </c>
      <c r="I451" s="312">
        <v>0.14000000000000001</v>
      </c>
      <c r="J451" s="313">
        <v>0.08</v>
      </c>
    </row>
    <row r="452" spans="1:10" ht="17.25" thickBot="1" x14ac:dyDescent="0.35">
      <c r="A452" s="299" t="s">
        <v>753</v>
      </c>
      <c r="B452" s="300">
        <f t="shared" si="21"/>
        <v>1</v>
      </c>
      <c r="C452" s="300" t="str">
        <f t="shared" si="22"/>
        <v>Cesar</v>
      </c>
      <c r="D452" s="300" t="str">
        <f t="shared" si="23"/>
        <v/>
      </c>
      <c r="E452" s="301"/>
      <c r="F452" s="302"/>
      <c r="G452" s="302"/>
      <c r="H452" s="302"/>
      <c r="I452" s="302"/>
      <c r="J452" s="303"/>
    </row>
    <row r="453" spans="1:10" ht="17.25" thickBot="1" x14ac:dyDescent="0.35">
      <c r="A453" s="309" t="s">
        <v>754</v>
      </c>
      <c r="B453" s="310">
        <f t="shared" si="21"/>
        <v>0</v>
      </c>
      <c r="C453" s="310" t="str">
        <f t="shared" si="22"/>
        <v>Cesar</v>
      </c>
      <c r="D453" s="310" t="str">
        <f t="shared" si="23"/>
        <v>Valledupar, Cesar</v>
      </c>
      <c r="E453" s="311">
        <v>20001</v>
      </c>
      <c r="F453" s="312">
        <v>0.1</v>
      </c>
      <c r="G453" s="312">
        <v>0.1</v>
      </c>
      <c r="H453" s="312" t="s">
        <v>295</v>
      </c>
      <c r="I453" s="312">
        <v>0.05</v>
      </c>
      <c r="J453" s="313">
        <v>0.03</v>
      </c>
    </row>
    <row r="454" spans="1:10" ht="17.25" thickBot="1" x14ac:dyDescent="0.35">
      <c r="A454" s="314" t="s">
        <v>755</v>
      </c>
      <c r="B454" s="315">
        <f t="shared" si="21"/>
        <v>0</v>
      </c>
      <c r="C454" s="315" t="str">
        <f t="shared" si="22"/>
        <v>Cesar</v>
      </c>
      <c r="D454" s="315" t="str">
        <f t="shared" si="23"/>
        <v>Aguachica, Cesar</v>
      </c>
      <c r="E454" s="311">
        <v>20011</v>
      </c>
      <c r="F454" s="312">
        <v>0.15</v>
      </c>
      <c r="G454" s="312">
        <v>0.15</v>
      </c>
      <c r="H454" s="312" t="s">
        <v>40</v>
      </c>
      <c r="I454" s="312">
        <v>0.08</v>
      </c>
      <c r="J454" s="313">
        <v>0.04</v>
      </c>
    </row>
    <row r="455" spans="1:10" ht="17.25" thickBot="1" x14ac:dyDescent="0.35">
      <c r="A455" s="314" t="s">
        <v>756</v>
      </c>
      <c r="B455" s="315">
        <f t="shared" si="21"/>
        <v>0</v>
      </c>
      <c r="C455" s="315" t="str">
        <f t="shared" si="22"/>
        <v>Cesar</v>
      </c>
      <c r="D455" s="315" t="str">
        <f t="shared" si="23"/>
        <v>Agustín Codazzi, Cesar</v>
      </c>
      <c r="E455" s="311">
        <v>20013</v>
      </c>
      <c r="F455" s="312">
        <v>0.1</v>
      </c>
      <c r="G455" s="312">
        <v>0.1</v>
      </c>
      <c r="H455" s="312" t="s">
        <v>295</v>
      </c>
      <c r="I455" s="312">
        <v>7.0000000000000007E-2</v>
      </c>
      <c r="J455" s="313">
        <v>0.04</v>
      </c>
    </row>
    <row r="456" spans="1:10" ht="17.25" thickBot="1" x14ac:dyDescent="0.35">
      <c r="A456" s="314" t="s">
        <v>757</v>
      </c>
      <c r="B456" s="315">
        <f t="shared" si="21"/>
        <v>0</v>
      </c>
      <c r="C456" s="315" t="str">
        <f t="shared" si="22"/>
        <v>Cesar</v>
      </c>
      <c r="D456" s="315" t="str">
        <f t="shared" si="23"/>
        <v>Astréa, Cesar</v>
      </c>
      <c r="E456" s="311">
        <v>20032</v>
      </c>
      <c r="F456" s="312">
        <v>0.1</v>
      </c>
      <c r="G456" s="312">
        <v>0.1</v>
      </c>
      <c r="H456" s="312" t="s">
        <v>295</v>
      </c>
      <c r="I456" s="312">
        <v>0.08</v>
      </c>
      <c r="J456" s="313">
        <v>0.04</v>
      </c>
    </row>
    <row r="457" spans="1:10" ht="17.25" thickBot="1" x14ac:dyDescent="0.35">
      <c r="A457" s="314" t="s">
        <v>758</v>
      </c>
      <c r="B457" s="315">
        <f t="shared" si="21"/>
        <v>0</v>
      </c>
      <c r="C457" s="315" t="str">
        <f t="shared" si="22"/>
        <v>Cesar</v>
      </c>
      <c r="D457" s="315" t="str">
        <f t="shared" si="23"/>
        <v>Becerril, Cesar</v>
      </c>
      <c r="E457" s="311">
        <v>20045</v>
      </c>
      <c r="F457" s="312">
        <v>0.1</v>
      </c>
      <c r="G457" s="312">
        <v>0.1</v>
      </c>
      <c r="H457" s="312" t="s">
        <v>295</v>
      </c>
      <c r="I457" s="312">
        <v>0.08</v>
      </c>
      <c r="J457" s="313">
        <v>0.04</v>
      </c>
    </row>
    <row r="458" spans="1:10" ht="17.25" thickBot="1" x14ac:dyDescent="0.35">
      <c r="A458" s="314" t="s">
        <v>759</v>
      </c>
      <c r="B458" s="315">
        <f t="shared" si="21"/>
        <v>0</v>
      </c>
      <c r="C458" s="315" t="str">
        <f t="shared" si="22"/>
        <v>Cesar</v>
      </c>
      <c r="D458" s="315" t="str">
        <f t="shared" si="23"/>
        <v>Bosconia, Cesar</v>
      </c>
      <c r="E458" s="311">
        <v>20060</v>
      </c>
      <c r="F458" s="312">
        <v>0.1</v>
      </c>
      <c r="G458" s="312">
        <v>0.1</v>
      </c>
      <c r="H458" s="312" t="s">
        <v>295</v>
      </c>
      <c r="I458" s="312">
        <v>0.08</v>
      </c>
      <c r="J458" s="313">
        <v>0.04</v>
      </c>
    </row>
    <row r="459" spans="1:10" ht="17.25" thickBot="1" x14ac:dyDescent="0.35">
      <c r="A459" s="314" t="s">
        <v>760</v>
      </c>
      <c r="B459" s="315">
        <f t="shared" si="21"/>
        <v>0</v>
      </c>
      <c r="C459" s="315" t="str">
        <f t="shared" si="22"/>
        <v>Cesar</v>
      </c>
      <c r="D459" s="315" t="str">
        <f t="shared" si="23"/>
        <v>Chimichagua, Cesar</v>
      </c>
      <c r="E459" s="311">
        <v>20175</v>
      </c>
      <c r="F459" s="312">
        <v>0.1</v>
      </c>
      <c r="G459" s="312">
        <v>0.1</v>
      </c>
      <c r="H459" s="312" t="s">
        <v>295</v>
      </c>
      <c r="I459" s="312">
        <v>0.08</v>
      </c>
      <c r="J459" s="313">
        <v>0.04</v>
      </c>
    </row>
    <row r="460" spans="1:10" ht="17.25" thickBot="1" x14ac:dyDescent="0.35">
      <c r="A460" s="314" t="s">
        <v>761</v>
      </c>
      <c r="B460" s="315">
        <f t="shared" si="21"/>
        <v>0</v>
      </c>
      <c r="C460" s="315" t="str">
        <f t="shared" si="22"/>
        <v>Cesar</v>
      </c>
      <c r="D460" s="315" t="str">
        <f t="shared" si="23"/>
        <v>Chiriguaná, Cesar</v>
      </c>
      <c r="E460" s="311">
        <v>20178</v>
      </c>
      <c r="F460" s="312">
        <v>0.1</v>
      </c>
      <c r="G460" s="312">
        <v>0.1</v>
      </c>
      <c r="H460" s="312" t="s">
        <v>295</v>
      </c>
      <c r="I460" s="312">
        <v>0.08</v>
      </c>
      <c r="J460" s="313">
        <v>0.04</v>
      </c>
    </row>
    <row r="461" spans="1:10" ht="17.25" thickBot="1" x14ac:dyDescent="0.35">
      <c r="A461" s="314" t="s">
        <v>762</v>
      </c>
      <c r="B461" s="315">
        <f t="shared" si="21"/>
        <v>0</v>
      </c>
      <c r="C461" s="315" t="str">
        <f t="shared" si="22"/>
        <v>Cesar</v>
      </c>
      <c r="D461" s="315" t="str">
        <f t="shared" si="23"/>
        <v>Curumaní, Cesar</v>
      </c>
      <c r="E461" s="311">
        <v>20228</v>
      </c>
      <c r="F461" s="312">
        <v>0.15</v>
      </c>
      <c r="G461" s="312">
        <v>0.1</v>
      </c>
      <c r="H461" s="312" t="s">
        <v>40</v>
      </c>
      <c r="I461" s="312">
        <v>0.08</v>
      </c>
      <c r="J461" s="313">
        <v>0.04</v>
      </c>
    </row>
    <row r="462" spans="1:10" ht="17.25" thickBot="1" x14ac:dyDescent="0.35">
      <c r="A462" s="314" t="s">
        <v>763</v>
      </c>
      <c r="B462" s="315">
        <f t="shared" si="21"/>
        <v>0</v>
      </c>
      <c r="C462" s="315" t="str">
        <f t="shared" si="22"/>
        <v>Cesar</v>
      </c>
      <c r="D462" s="315" t="str">
        <f t="shared" si="23"/>
        <v>El Copey, Cesar</v>
      </c>
      <c r="E462" s="311">
        <v>20238</v>
      </c>
      <c r="F462" s="312">
        <v>0.1</v>
      </c>
      <c r="G462" s="312">
        <v>0.1</v>
      </c>
      <c r="H462" s="312" t="s">
        <v>295</v>
      </c>
      <c r="I462" s="312">
        <v>0.08</v>
      </c>
      <c r="J462" s="313">
        <v>0.04</v>
      </c>
    </row>
    <row r="463" spans="1:10" ht="17.25" thickBot="1" x14ac:dyDescent="0.35">
      <c r="A463" s="314" t="s">
        <v>764</v>
      </c>
      <c r="B463" s="315">
        <f t="shared" si="21"/>
        <v>0</v>
      </c>
      <c r="C463" s="315" t="str">
        <f t="shared" si="22"/>
        <v>Cesar</v>
      </c>
      <c r="D463" s="315" t="str">
        <f t="shared" si="23"/>
        <v>El Paso, Cesar</v>
      </c>
      <c r="E463" s="311">
        <v>20250</v>
      </c>
      <c r="F463" s="312">
        <v>0.1</v>
      </c>
      <c r="G463" s="312">
        <v>0.1</v>
      </c>
      <c r="H463" s="312" t="s">
        <v>295</v>
      </c>
      <c r="I463" s="312">
        <v>0.08</v>
      </c>
      <c r="J463" s="313">
        <v>0.04</v>
      </c>
    </row>
    <row r="464" spans="1:10" ht="17.25" thickBot="1" x14ac:dyDescent="0.35">
      <c r="A464" s="314" t="s">
        <v>765</v>
      </c>
      <c r="B464" s="315">
        <f t="shared" si="21"/>
        <v>0</v>
      </c>
      <c r="C464" s="315" t="str">
        <f t="shared" si="22"/>
        <v>Cesar</v>
      </c>
      <c r="D464" s="315" t="str">
        <f t="shared" si="23"/>
        <v>Gamarra, Cesar</v>
      </c>
      <c r="E464" s="311">
        <v>20295</v>
      </c>
      <c r="F464" s="312">
        <v>0.15</v>
      </c>
      <c r="G464" s="312">
        <v>0.15</v>
      </c>
      <c r="H464" s="312" t="s">
        <v>40</v>
      </c>
      <c r="I464" s="312">
        <v>0.08</v>
      </c>
      <c r="J464" s="313">
        <v>0.04</v>
      </c>
    </row>
    <row r="465" spans="1:10" ht="17.25" thickBot="1" x14ac:dyDescent="0.35">
      <c r="A465" s="314" t="s">
        <v>766</v>
      </c>
      <c r="B465" s="315">
        <f t="shared" si="21"/>
        <v>0</v>
      </c>
      <c r="C465" s="315" t="str">
        <f t="shared" si="22"/>
        <v>Cesar</v>
      </c>
      <c r="D465" s="315" t="str">
        <f t="shared" si="23"/>
        <v>González, Cesar</v>
      </c>
      <c r="E465" s="311">
        <v>20310</v>
      </c>
      <c r="F465" s="312">
        <v>0.2</v>
      </c>
      <c r="G465" s="312">
        <v>0.15</v>
      </c>
      <c r="H465" s="312" t="s">
        <v>40</v>
      </c>
      <c r="I465" s="312">
        <v>0.08</v>
      </c>
      <c r="J465" s="313">
        <v>0.04</v>
      </c>
    </row>
    <row r="466" spans="1:10" ht="17.25" thickBot="1" x14ac:dyDescent="0.35">
      <c r="A466" s="314" t="s">
        <v>767</v>
      </c>
      <c r="B466" s="315">
        <f t="shared" si="21"/>
        <v>0</v>
      </c>
      <c r="C466" s="315" t="str">
        <f t="shared" si="22"/>
        <v>Cesar</v>
      </c>
      <c r="D466" s="315" t="str">
        <f t="shared" si="23"/>
        <v>La Gloria, Cesar</v>
      </c>
      <c r="E466" s="311">
        <v>20383</v>
      </c>
      <c r="F466" s="312">
        <v>0.15</v>
      </c>
      <c r="G466" s="312">
        <v>0.15</v>
      </c>
      <c r="H466" s="312" t="s">
        <v>40</v>
      </c>
      <c r="I466" s="312">
        <v>0.08</v>
      </c>
      <c r="J466" s="313">
        <v>0.04</v>
      </c>
    </row>
    <row r="467" spans="1:10" ht="17.25" thickBot="1" x14ac:dyDescent="0.35">
      <c r="A467" s="314" t="s">
        <v>768</v>
      </c>
      <c r="B467" s="315">
        <f t="shared" si="21"/>
        <v>0</v>
      </c>
      <c r="C467" s="315" t="str">
        <f t="shared" si="22"/>
        <v>Cesar</v>
      </c>
      <c r="D467" s="315" t="str">
        <f t="shared" si="23"/>
        <v>La Jagua De Ibirico, Cesar</v>
      </c>
      <c r="E467" s="311">
        <v>20400</v>
      </c>
      <c r="F467" s="312">
        <v>0.1</v>
      </c>
      <c r="G467" s="312">
        <v>0.1</v>
      </c>
      <c r="H467" s="312" t="s">
        <v>295</v>
      </c>
      <c r="I467" s="312">
        <v>0.08</v>
      </c>
      <c r="J467" s="313">
        <v>0.04</v>
      </c>
    </row>
    <row r="468" spans="1:10" ht="17.25" thickBot="1" x14ac:dyDescent="0.35">
      <c r="A468" s="314" t="s">
        <v>769</v>
      </c>
      <c r="B468" s="315">
        <f t="shared" si="21"/>
        <v>0</v>
      </c>
      <c r="C468" s="315" t="str">
        <f t="shared" si="22"/>
        <v>Cesar</v>
      </c>
      <c r="D468" s="315" t="str">
        <f t="shared" si="23"/>
        <v>La Paz, Cesar</v>
      </c>
      <c r="E468" s="311">
        <v>20621</v>
      </c>
      <c r="F468" s="312">
        <v>0.1</v>
      </c>
      <c r="G468" s="312">
        <v>0.1</v>
      </c>
      <c r="H468" s="312" t="s">
        <v>295</v>
      </c>
      <c r="I468" s="312">
        <v>0.06</v>
      </c>
      <c r="J468" s="313">
        <v>0.03</v>
      </c>
    </row>
    <row r="469" spans="1:10" ht="17.25" thickBot="1" x14ac:dyDescent="0.35">
      <c r="A469" s="314" t="s">
        <v>770</v>
      </c>
      <c r="B469" s="315">
        <f t="shared" si="21"/>
        <v>0</v>
      </c>
      <c r="C469" s="315" t="str">
        <f t="shared" si="22"/>
        <v>Cesar</v>
      </c>
      <c r="D469" s="315" t="str">
        <f t="shared" si="23"/>
        <v>Manaure, Cesar</v>
      </c>
      <c r="E469" s="311">
        <v>20443</v>
      </c>
      <c r="F469" s="312">
        <v>0.1</v>
      </c>
      <c r="G469" s="312">
        <v>0.1</v>
      </c>
      <c r="H469" s="312" t="s">
        <v>295</v>
      </c>
      <c r="I469" s="312">
        <v>0.08</v>
      </c>
      <c r="J469" s="313">
        <v>0.04</v>
      </c>
    </row>
    <row r="470" spans="1:10" ht="17.25" thickBot="1" x14ac:dyDescent="0.35">
      <c r="A470" s="314" t="s">
        <v>771</v>
      </c>
      <c r="B470" s="315">
        <f t="shared" si="21"/>
        <v>0</v>
      </c>
      <c r="C470" s="315" t="str">
        <f t="shared" si="22"/>
        <v>Cesar</v>
      </c>
      <c r="D470" s="315" t="str">
        <f t="shared" si="23"/>
        <v>Pailitas, Cesar</v>
      </c>
      <c r="E470" s="311">
        <v>20517</v>
      </c>
      <c r="F470" s="312">
        <v>0.15</v>
      </c>
      <c r="G470" s="312">
        <v>0.1</v>
      </c>
      <c r="H470" s="312" t="s">
        <v>40</v>
      </c>
      <c r="I470" s="312">
        <v>0.08</v>
      </c>
      <c r="J470" s="313">
        <v>0.04</v>
      </c>
    </row>
    <row r="471" spans="1:10" ht="17.25" thickBot="1" x14ac:dyDescent="0.35">
      <c r="A471" s="314" t="s">
        <v>772</v>
      </c>
      <c r="B471" s="315">
        <f t="shared" si="21"/>
        <v>0</v>
      </c>
      <c r="C471" s="315" t="str">
        <f t="shared" si="22"/>
        <v>Cesar</v>
      </c>
      <c r="D471" s="315" t="str">
        <f t="shared" si="23"/>
        <v>Pelaya, Cesar</v>
      </c>
      <c r="E471" s="311">
        <v>20550</v>
      </c>
      <c r="F471" s="312">
        <v>0.15</v>
      </c>
      <c r="G471" s="312">
        <v>0.15</v>
      </c>
      <c r="H471" s="312" t="s">
        <v>40</v>
      </c>
      <c r="I471" s="312">
        <v>0.08</v>
      </c>
      <c r="J471" s="313">
        <v>0.04</v>
      </c>
    </row>
    <row r="472" spans="1:10" ht="17.25" thickBot="1" x14ac:dyDescent="0.35">
      <c r="A472" s="314" t="s">
        <v>773</v>
      </c>
      <c r="B472" s="315">
        <f t="shared" si="21"/>
        <v>0</v>
      </c>
      <c r="C472" s="315" t="str">
        <f t="shared" si="22"/>
        <v>Cesar</v>
      </c>
      <c r="D472" s="315" t="str">
        <f t="shared" si="23"/>
        <v>Pueblo Bello, Cesar</v>
      </c>
      <c r="E472" s="311">
        <v>20570</v>
      </c>
      <c r="F472" s="312">
        <v>0.1</v>
      </c>
      <c r="G472" s="312">
        <v>0.1</v>
      </c>
      <c r="H472" s="312" t="s">
        <v>295</v>
      </c>
      <c r="I472" s="312">
        <v>0.05</v>
      </c>
      <c r="J472" s="313">
        <v>0.03</v>
      </c>
    </row>
    <row r="473" spans="1:10" ht="17.25" thickBot="1" x14ac:dyDescent="0.35">
      <c r="A473" s="314" t="s">
        <v>774</v>
      </c>
      <c r="B473" s="315">
        <f t="shared" si="21"/>
        <v>0</v>
      </c>
      <c r="C473" s="315" t="str">
        <f t="shared" si="22"/>
        <v>Cesar</v>
      </c>
      <c r="D473" s="315" t="str">
        <f t="shared" si="23"/>
        <v>Río De Oro, Cesar</v>
      </c>
      <c r="E473" s="311">
        <v>20614</v>
      </c>
      <c r="F473" s="312">
        <v>0.2</v>
      </c>
      <c r="G473" s="312">
        <v>0.15</v>
      </c>
      <c r="H473" s="312" t="s">
        <v>40</v>
      </c>
      <c r="I473" s="312">
        <v>0.08</v>
      </c>
      <c r="J473" s="313">
        <v>0.04</v>
      </c>
    </row>
    <row r="474" spans="1:10" ht="17.25" thickBot="1" x14ac:dyDescent="0.35">
      <c r="A474" s="314" t="s">
        <v>775</v>
      </c>
      <c r="B474" s="315">
        <f t="shared" si="21"/>
        <v>0</v>
      </c>
      <c r="C474" s="315" t="str">
        <f t="shared" si="22"/>
        <v>Cesar</v>
      </c>
      <c r="D474" s="315" t="str">
        <f t="shared" si="23"/>
        <v>San Alberto, Cesar</v>
      </c>
      <c r="E474" s="311">
        <v>20710</v>
      </c>
      <c r="F474" s="312">
        <v>0.2</v>
      </c>
      <c r="G474" s="312">
        <v>0.15</v>
      </c>
      <c r="H474" s="312" t="s">
        <v>40</v>
      </c>
      <c r="I474" s="312">
        <v>0.08</v>
      </c>
      <c r="J474" s="313">
        <v>0.04</v>
      </c>
    </row>
    <row r="475" spans="1:10" ht="17.25" thickBot="1" x14ac:dyDescent="0.35">
      <c r="A475" s="314" t="s">
        <v>776</v>
      </c>
      <c r="B475" s="315">
        <f t="shared" si="21"/>
        <v>0</v>
      </c>
      <c r="C475" s="315" t="str">
        <f t="shared" si="22"/>
        <v>Cesar</v>
      </c>
      <c r="D475" s="315" t="str">
        <f t="shared" si="23"/>
        <v>San Diego, Cesar</v>
      </c>
      <c r="E475" s="311">
        <v>20750</v>
      </c>
      <c r="F475" s="312">
        <v>0.1</v>
      </c>
      <c r="G475" s="312">
        <v>0.1</v>
      </c>
      <c r="H475" s="312" t="s">
        <v>295</v>
      </c>
      <c r="I475" s="312">
        <v>0.05</v>
      </c>
      <c r="J475" s="313">
        <v>0.03</v>
      </c>
    </row>
    <row r="476" spans="1:10" ht="17.25" thickBot="1" x14ac:dyDescent="0.35">
      <c r="A476" s="314" t="s">
        <v>777</v>
      </c>
      <c r="B476" s="315">
        <f t="shared" si="21"/>
        <v>0</v>
      </c>
      <c r="C476" s="315" t="str">
        <f t="shared" si="22"/>
        <v>Cesar</v>
      </c>
      <c r="D476" s="315" t="str">
        <f t="shared" si="23"/>
        <v>San Martín, Cesar</v>
      </c>
      <c r="E476" s="311">
        <v>20770</v>
      </c>
      <c r="F476" s="312">
        <v>0.2</v>
      </c>
      <c r="G476" s="312">
        <v>0.15</v>
      </c>
      <c r="H476" s="312" t="s">
        <v>40</v>
      </c>
      <c r="I476" s="312">
        <v>0.08</v>
      </c>
      <c r="J476" s="313">
        <v>0.04</v>
      </c>
    </row>
    <row r="477" spans="1:10" ht="17.25" thickBot="1" x14ac:dyDescent="0.35">
      <c r="A477" s="314" t="s">
        <v>778</v>
      </c>
      <c r="B477" s="315">
        <f t="shared" si="21"/>
        <v>0</v>
      </c>
      <c r="C477" s="315" t="str">
        <f t="shared" si="22"/>
        <v>Cesar</v>
      </c>
      <c r="D477" s="315" t="str">
        <f t="shared" si="23"/>
        <v>Tamalameque, Cesar</v>
      </c>
      <c r="E477" s="311">
        <v>20787</v>
      </c>
      <c r="F477" s="312">
        <v>0.15</v>
      </c>
      <c r="G477" s="312">
        <v>0.1</v>
      </c>
      <c r="H477" s="312" t="s">
        <v>40</v>
      </c>
      <c r="I477" s="312">
        <v>0.08</v>
      </c>
      <c r="J477" s="313">
        <v>0.04</v>
      </c>
    </row>
    <row r="478" spans="1:10" ht="17.25" thickBot="1" x14ac:dyDescent="0.35">
      <c r="A478" s="299" t="s">
        <v>779</v>
      </c>
      <c r="B478" s="300">
        <f t="shared" si="21"/>
        <v>1</v>
      </c>
      <c r="C478" s="300" t="str">
        <f t="shared" si="22"/>
        <v>Chocó</v>
      </c>
      <c r="D478" s="300" t="str">
        <f t="shared" si="23"/>
        <v/>
      </c>
      <c r="E478" s="301"/>
      <c r="F478" s="302"/>
      <c r="G478" s="302"/>
      <c r="H478" s="302"/>
      <c r="I478" s="302"/>
      <c r="J478" s="303"/>
    </row>
    <row r="479" spans="1:10" ht="17.25" thickBot="1" x14ac:dyDescent="0.35">
      <c r="A479" s="309" t="s">
        <v>780</v>
      </c>
      <c r="B479" s="310">
        <f t="shared" si="21"/>
        <v>0</v>
      </c>
      <c r="C479" s="310" t="str">
        <f t="shared" si="22"/>
        <v>Chocó</v>
      </c>
      <c r="D479" s="310" t="str">
        <f t="shared" si="23"/>
        <v>Quibdó, Chocó</v>
      </c>
      <c r="E479" s="311">
        <v>27001</v>
      </c>
      <c r="F479" s="312">
        <v>0.35</v>
      </c>
      <c r="G479" s="312">
        <v>0.35</v>
      </c>
      <c r="H479" s="312" t="s">
        <v>322</v>
      </c>
      <c r="I479" s="312">
        <v>0.25</v>
      </c>
      <c r="J479" s="313">
        <v>0.13</v>
      </c>
    </row>
    <row r="480" spans="1:10" ht="17.25" thickBot="1" x14ac:dyDescent="0.35">
      <c r="A480" s="314" t="s">
        <v>781</v>
      </c>
      <c r="B480" s="315">
        <f t="shared" si="21"/>
        <v>0</v>
      </c>
      <c r="C480" s="315" t="str">
        <f t="shared" si="22"/>
        <v>Chocó</v>
      </c>
      <c r="D480" s="315" t="str">
        <f t="shared" si="23"/>
        <v>Acandí, Chocó</v>
      </c>
      <c r="E480" s="311">
        <v>27006</v>
      </c>
      <c r="F480" s="312">
        <v>0.25</v>
      </c>
      <c r="G480" s="312">
        <v>0.25</v>
      </c>
      <c r="H480" s="312" t="s">
        <v>322</v>
      </c>
      <c r="I480" s="312">
        <v>0.09</v>
      </c>
      <c r="J480" s="313">
        <v>0.04</v>
      </c>
    </row>
    <row r="481" spans="1:10" ht="17.25" thickBot="1" x14ac:dyDescent="0.35">
      <c r="A481" s="314" t="s">
        <v>782</v>
      </c>
      <c r="B481" s="315">
        <f t="shared" si="21"/>
        <v>0</v>
      </c>
      <c r="C481" s="315" t="str">
        <f t="shared" si="22"/>
        <v>Chocó</v>
      </c>
      <c r="D481" s="315" t="str">
        <f t="shared" si="23"/>
        <v>Alto Baudó, Chocó</v>
      </c>
      <c r="E481" s="311">
        <v>27025</v>
      </c>
      <c r="F481" s="312">
        <v>0.4</v>
      </c>
      <c r="G481" s="312">
        <v>0.4</v>
      </c>
      <c r="H481" s="312" t="s">
        <v>322</v>
      </c>
      <c r="I481" s="312">
        <v>0.24</v>
      </c>
      <c r="J481" s="313">
        <v>0.1</v>
      </c>
    </row>
    <row r="482" spans="1:10" ht="17.25" thickBot="1" x14ac:dyDescent="0.35">
      <c r="A482" s="314" t="s">
        <v>783</v>
      </c>
      <c r="B482" s="315">
        <f t="shared" si="21"/>
        <v>0</v>
      </c>
      <c r="C482" s="315" t="str">
        <f t="shared" si="22"/>
        <v>Chocó</v>
      </c>
      <c r="D482" s="315" t="str">
        <f t="shared" si="23"/>
        <v>Atrato, Chocó</v>
      </c>
      <c r="E482" s="311">
        <v>27050</v>
      </c>
      <c r="F482" s="312">
        <v>0.35</v>
      </c>
      <c r="G482" s="312">
        <v>0.35</v>
      </c>
      <c r="H482" s="312" t="s">
        <v>322</v>
      </c>
      <c r="I482" s="312">
        <v>0.24</v>
      </c>
      <c r="J482" s="313">
        <v>0.1</v>
      </c>
    </row>
    <row r="483" spans="1:10" ht="17.25" thickBot="1" x14ac:dyDescent="0.35">
      <c r="A483" s="314" t="s">
        <v>784</v>
      </c>
      <c r="B483" s="315">
        <f t="shared" si="21"/>
        <v>0</v>
      </c>
      <c r="C483" s="315" t="str">
        <f t="shared" si="22"/>
        <v>Chocó</v>
      </c>
      <c r="D483" s="315" t="str">
        <f t="shared" si="23"/>
        <v>Bagadó, Chocó</v>
      </c>
      <c r="E483" s="311">
        <v>27073</v>
      </c>
      <c r="F483" s="312">
        <v>0.35</v>
      </c>
      <c r="G483" s="312">
        <v>0.3</v>
      </c>
      <c r="H483" s="312" t="s">
        <v>322</v>
      </c>
      <c r="I483" s="312">
        <v>0.24</v>
      </c>
      <c r="J483" s="313">
        <v>0.1</v>
      </c>
    </row>
    <row r="484" spans="1:10" ht="17.25" thickBot="1" x14ac:dyDescent="0.35">
      <c r="A484" s="314" t="s">
        <v>785</v>
      </c>
      <c r="B484" s="315">
        <f t="shared" si="21"/>
        <v>0</v>
      </c>
      <c r="C484" s="315" t="str">
        <f t="shared" si="22"/>
        <v>Chocó</v>
      </c>
      <c r="D484" s="315" t="str">
        <f t="shared" si="23"/>
        <v>Bahía Solano, Chocó</v>
      </c>
      <c r="E484" s="311">
        <v>27075</v>
      </c>
      <c r="F484" s="312">
        <v>0.45</v>
      </c>
      <c r="G484" s="312">
        <v>0.4</v>
      </c>
      <c r="H484" s="312" t="s">
        <v>322</v>
      </c>
      <c r="I484" s="312">
        <v>0.24</v>
      </c>
      <c r="J484" s="313">
        <v>0.1</v>
      </c>
    </row>
    <row r="485" spans="1:10" ht="17.25" thickBot="1" x14ac:dyDescent="0.35">
      <c r="A485" s="314" t="s">
        <v>786</v>
      </c>
      <c r="B485" s="315">
        <f t="shared" si="21"/>
        <v>0</v>
      </c>
      <c r="C485" s="315" t="str">
        <f t="shared" si="22"/>
        <v>Chocó</v>
      </c>
      <c r="D485" s="315" t="str">
        <f t="shared" si="23"/>
        <v>Bajo Baudó, Chocó</v>
      </c>
      <c r="E485" s="311">
        <v>27077</v>
      </c>
      <c r="F485" s="312">
        <v>0.45</v>
      </c>
      <c r="G485" s="312">
        <v>0.4</v>
      </c>
      <c r="H485" s="312" t="s">
        <v>322</v>
      </c>
      <c r="I485" s="312">
        <v>0.24</v>
      </c>
      <c r="J485" s="313">
        <v>0.1</v>
      </c>
    </row>
    <row r="486" spans="1:10" ht="17.25" thickBot="1" x14ac:dyDescent="0.35">
      <c r="A486" s="314" t="s">
        <v>787</v>
      </c>
      <c r="B486" s="315">
        <f t="shared" si="21"/>
        <v>0</v>
      </c>
      <c r="C486" s="315" t="str">
        <f t="shared" si="22"/>
        <v>Chocó</v>
      </c>
      <c r="D486" s="315" t="str">
        <f t="shared" si="23"/>
        <v>Belén De Bajirá, Chocó</v>
      </c>
      <c r="E486" s="311">
        <v>27086</v>
      </c>
      <c r="F486" s="312">
        <v>0.25</v>
      </c>
      <c r="G486" s="312">
        <v>0.3</v>
      </c>
      <c r="H486" s="312" t="s">
        <v>322</v>
      </c>
      <c r="I486" s="312">
        <v>0.24</v>
      </c>
      <c r="J486" s="313">
        <v>0.1</v>
      </c>
    </row>
    <row r="487" spans="1:10" ht="17.25" thickBot="1" x14ac:dyDescent="0.35">
      <c r="A487" s="314" t="s">
        <v>788</v>
      </c>
      <c r="B487" s="315">
        <f t="shared" si="21"/>
        <v>0</v>
      </c>
      <c r="C487" s="315" t="str">
        <f t="shared" si="22"/>
        <v>Chocó</v>
      </c>
      <c r="D487" s="315" t="str">
        <f t="shared" si="23"/>
        <v>Bojayá, Chocó</v>
      </c>
      <c r="E487" s="311">
        <v>27099</v>
      </c>
      <c r="F487" s="312">
        <v>0.4</v>
      </c>
      <c r="G487" s="312">
        <v>0.4</v>
      </c>
      <c r="H487" s="312" t="s">
        <v>322</v>
      </c>
      <c r="I487" s="312">
        <v>0.24</v>
      </c>
      <c r="J487" s="313">
        <v>0.1</v>
      </c>
    </row>
    <row r="488" spans="1:10" ht="17.25" thickBot="1" x14ac:dyDescent="0.35">
      <c r="A488" s="314" t="s">
        <v>789</v>
      </c>
      <c r="B488" s="315">
        <f t="shared" si="21"/>
        <v>0</v>
      </c>
      <c r="C488" s="315" t="str">
        <f t="shared" si="22"/>
        <v>Chocó</v>
      </c>
      <c r="D488" s="315" t="str">
        <f t="shared" si="23"/>
        <v>Cantón De San Pablo, Chocó</v>
      </c>
      <c r="E488" s="311">
        <v>27135</v>
      </c>
      <c r="F488" s="312">
        <v>0.4</v>
      </c>
      <c r="G488" s="312">
        <v>0.4</v>
      </c>
      <c r="H488" s="312" t="s">
        <v>322</v>
      </c>
      <c r="I488" s="312">
        <v>0.24</v>
      </c>
      <c r="J488" s="313">
        <v>0.1</v>
      </c>
    </row>
    <row r="489" spans="1:10" ht="17.25" thickBot="1" x14ac:dyDescent="0.35">
      <c r="A489" s="314" t="s">
        <v>790</v>
      </c>
      <c r="B489" s="315">
        <f t="shared" si="21"/>
        <v>0</v>
      </c>
      <c r="C489" s="315" t="str">
        <f t="shared" si="22"/>
        <v>Chocó</v>
      </c>
      <c r="D489" s="315" t="str">
        <f t="shared" si="23"/>
        <v>Carmen del Darién, Chocó</v>
      </c>
      <c r="E489" s="311">
        <v>27150</v>
      </c>
      <c r="F489" s="312">
        <v>0.35</v>
      </c>
      <c r="G489" s="312">
        <v>0.35</v>
      </c>
      <c r="H489" s="312" t="s">
        <v>322</v>
      </c>
      <c r="I489" s="312">
        <v>0.24</v>
      </c>
      <c r="J489" s="313">
        <v>0.1</v>
      </c>
    </row>
    <row r="490" spans="1:10" ht="17.25" thickBot="1" x14ac:dyDescent="0.35">
      <c r="A490" s="314" t="s">
        <v>791</v>
      </c>
      <c r="B490" s="315">
        <f t="shared" si="21"/>
        <v>0</v>
      </c>
      <c r="C490" s="315" t="str">
        <f t="shared" si="22"/>
        <v>Chocó</v>
      </c>
      <c r="D490" s="315" t="str">
        <f t="shared" si="23"/>
        <v>Certeguí, Chocó</v>
      </c>
      <c r="E490" s="311">
        <v>27160</v>
      </c>
      <c r="F490" s="312">
        <v>0.35</v>
      </c>
      <c r="G490" s="312">
        <v>0.35</v>
      </c>
      <c r="H490" s="312" t="s">
        <v>322</v>
      </c>
      <c r="I490" s="312">
        <v>0.24</v>
      </c>
      <c r="J490" s="313">
        <v>0.1</v>
      </c>
    </row>
    <row r="491" spans="1:10" ht="17.25" thickBot="1" x14ac:dyDescent="0.35">
      <c r="A491" s="314" t="s">
        <v>792</v>
      </c>
      <c r="B491" s="315">
        <f t="shared" si="21"/>
        <v>0</v>
      </c>
      <c r="C491" s="315" t="str">
        <f t="shared" si="22"/>
        <v>Chocó</v>
      </c>
      <c r="D491" s="315" t="str">
        <f t="shared" si="23"/>
        <v>Condoto, Chocó</v>
      </c>
      <c r="E491" s="311">
        <v>27205</v>
      </c>
      <c r="F491" s="312">
        <v>0.35</v>
      </c>
      <c r="G491" s="312">
        <v>0.35</v>
      </c>
      <c r="H491" s="312" t="s">
        <v>322</v>
      </c>
      <c r="I491" s="312">
        <v>0.24</v>
      </c>
      <c r="J491" s="313">
        <v>0.1</v>
      </c>
    </row>
    <row r="492" spans="1:10" ht="17.25" thickBot="1" x14ac:dyDescent="0.35">
      <c r="A492" s="314" t="s">
        <v>793</v>
      </c>
      <c r="B492" s="315">
        <f t="shared" si="21"/>
        <v>0</v>
      </c>
      <c r="C492" s="315" t="str">
        <f t="shared" si="22"/>
        <v>Chocó</v>
      </c>
      <c r="D492" s="315" t="str">
        <f t="shared" si="23"/>
        <v>El Carmen De Atrato, Chocó</v>
      </c>
      <c r="E492" s="311">
        <v>27245</v>
      </c>
      <c r="F492" s="312">
        <v>0.3</v>
      </c>
      <c r="G492" s="312">
        <v>0.3</v>
      </c>
      <c r="H492" s="312" t="s">
        <v>322</v>
      </c>
      <c r="I492" s="312">
        <v>0.24</v>
      </c>
      <c r="J492" s="313">
        <v>0.1</v>
      </c>
    </row>
    <row r="493" spans="1:10" ht="17.25" thickBot="1" x14ac:dyDescent="0.35">
      <c r="A493" s="314" t="s">
        <v>794</v>
      </c>
      <c r="B493" s="315">
        <f t="shared" si="21"/>
        <v>0</v>
      </c>
      <c r="C493" s="315" t="str">
        <f t="shared" si="22"/>
        <v>Chocó</v>
      </c>
      <c r="D493" s="315" t="str">
        <f t="shared" si="23"/>
        <v>El Litoral del San Juan, Chocó</v>
      </c>
      <c r="E493" s="311">
        <v>27250</v>
      </c>
      <c r="F493" s="312">
        <v>0.4</v>
      </c>
      <c r="G493" s="312">
        <v>0.4</v>
      </c>
      <c r="H493" s="312" t="s">
        <v>322</v>
      </c>
      <c r="I493" s="312">
        <v>0.2</v>
      </c>
      <c r="J493" s="313">
        <v>0.1</v>
      </c>
    </row>
    <row r="494" spans="1:10" ht="17.25" thickBot="1" x14ac:dyDescent="0.35">
      <c r="A494" s="314" t="s">
        <v>795</v>
      </c>
      <c r="B494" s="315">
        <f t="shared" si="21"/>
        <v>0</v>
      </c>
      <c r="C494" s="315" t="str">
        <f t="shared" si="22"/>
        <v>Chocó</v>
      </c>
      <c r="D494" s="315" t="str">
        <f t="shared" si="23"/>
        <v>Itsmína, Chocó</v>
      </c>
      <c r="E494" s="311">
        <v>27361</v>
      </c>
      <c r="F494" s="312">
        <v>0.4</v>
      </c>
      <c r="G494" s="312">
        <v>0.4</v>
      </c>
      <c r="H494" s="312" t="s">
        <v>322</v>
      </c>
      <c r="I494" s="312">
        <v>0.23</v>
      </c>
      <c r="J494" s="313">
        <v>0.1</v>
      </c>
    </row>
    <row r="495" spans="1:10" ht="17.25" thickBot="1" x14ac:dyDescent="0.35">
      <c r="A495" s="314" t="s">
        <v>796</v>
      </c>
      <c r="B495" s="315">
        <f t="shared" si="21"/>
        <v>0</v>
      </c>
      <c r="C495" s="315" t="str">
        <f t="shared" si="22"/>
        <v>Chocó</v>
      </c>
      <c r="D495" s="315" t="str">
        <f t="shared" si="23"/>
        <v>Juradó, Chocó</v>
      </c>
      <c r="E495" s="311">
        <v>27372</v>
      </c>
      <c r="F495" s="312">
        <v>0.4</v>
      </c>
      <c r="G495" s="312">
        <v>0.4</v>
      </c>
      <c r="H495" s="312" t="s">
        <v>322</v>
      </c>
      <c r="I495" s="312">
        <v>0.24</v>
      </c>
      <c r="J495" s="313">
        <v>0.1</v>
      </c>
    </row>
    <row r="496" spans="1:10" ht="17.25" thickBot="1" x14ac:dyDescent="0.35">
      <c r="A496" s="314" t="s">
        <v>797</v>
      </c>
      <c r="B496" s="315">
        <f t="shared" si="21"/>
        <v>0</v>
      </c>
      <c r="C496" s="315" t="str">
        <f t="shared" si="22"/>
        <v>Chocó</v>
      </c>
      <c r="D496" s="315" t="str">
        <f t="shared" si="23"/>
        <v>Lloró, Chocó</v>
      </c>
      <c r="E496" s="311">
        <v>27413</v>
      </c>
      <c r="F496" s="312">
        <v>0.25</v>
      </c>
      <c r="G496" s="312">
        <v>0.35</v>
      </c>
      <c r="H496" s="312" t="s">
        <v>322</v>
      </c>
      <c r="I496" s="312">
        <v>0.24</v>
      </c>
      <c r="J496" s="313">
        <v>0.1</v>
      </c>
    </row>
    <row r="497" spans="1:10" ht="17.25" thickBot="1" x14ac:dyDescent="0.35">
      <c r="A497" s="314" t="s">
        <v>798</v>
      </c>
      <c r="B497" s="315">
        <f t="shared" si="21"/>
        <v>0</v>
      </c>
      <c r="C497" s="315" t="str">
        <f t="shared" si="22"/>
        <v>Chocó</v>
      </c>
      <c r="D497" s="315" t="str">
        <f t="shared" si="23"/>
        <v>Medio Atrato, Chocó</v>
      </c>
      <c r="E497" s="311">
        <v>27425</v>
      </c>
      <c r="F497" s="312">
        <v>0.35</v>
      </c>
      <c r="G497" s="312">
        <v>0.35</v>
      </c>
      <c r="H497" s="312" t="s">
        <v>322</v>
      </c>
      <c r="I497" s="312">
        <v>0.24</v>
      </c>
      <c r="J497" s="313">
        <v>0.1</v>
      </c>
    </row>
    <row r="498" spans="1:10" ht="17.25" thickBot="1" x14ac:dyDescent="0.35">
      <c r="A498" s="314" t="s">
        <v>799</v>
      </c>
      <c r="B498" s="315">
        <f t="shared" si="21"/>
        <v>0</v>
      </c>
      <c r="C498" s="315" t="str">
        <f t="shared" si="22"/>
        <v>Chocó</v>
      </c>
      <c r="D498" s="315" t="str">
        <f t="shared" si="23"/>
        <v>Medio Baudó, Chocó</v>
      </c>
      <c r="E498" s="311">
        <v>27430</v>
      </c>
      <c r="F498" s="312">
        <v>0.45</v>
      </c>
      <c r="G498" s="312">
        <v>0.4</v>
      </c>
      <c r="H498" s="312" t="s">
        <v>322</v>
      </c>
      <c r="I498" s="312">
        <v>0.24</v>
      </c>
      <c r="J498" s="313">
        <v>0.1</v>
      </c>
    </row>
    <row r="499" spans="1:10" ht="17.25" thickBot="1" x14ac:dyDescent="0.35">
      <c r="A499" s="314" t="s">
        <v>800</v>
      </c>
      <c r="B499" s="315">
        <f t="shared" si="21"/>
        <v>0</v>
      </c>
      <c r="C499" s="315" t="str">
        <f t="shared" si="22"/>
        <v>Chocó</v>
      </c>
      <c r="D499" s="315" t="str">
        <f t="shared" si="23"/>
        <v>Medio San Juan, Chocó</v>
      </c>
      <c r="E499" s="311">
        <v>27450</v>
      </c>
      <c r="F499" s="312">
        <v>0.4</v>
      </c>
      <c r="G499" s="312">
        <v>0.4</v>
      </c>
      <c r="H499" s="312" t="s">
        <v>322</v>
      </c>
      <c r="I499" s="312">
        <v>0.24</v>
      </c>
      <c r="J499" s="313">
        <v>0.1</v>
      </c>
    </row>
    <row r="500" spans="1:10" ht="17.25" thickBot="1" x14ac:dyDescent="0.35">
      <c r="A500" s="314" t="s">
        <v>801</v>
      </c>
      <c r="B500" s="315">
        <f t="shared" si="21"/>
        <v>0</v>
      </c>
      <c r="C500" s="315" t="str">
        <f t="shared" si="22"/>
        <v>Chocó</v>
      </c>
      <c r="D500" s="315" t="str">
        <f t="shared" si="23"/>
        <v>Nóvita, Chocó</v>
      </c>
      <c r="E500" s="311">
        <v>27491</v>
      </c>
      <c r="F500" s="312">
        <v>0.4</v>
      </c>
      <c r="G500" s="312">
        <v>0.35</v>
      </c>
      <c r="H500" s="312" t="s">
        <v>322</v>
      </c>
      <c r="I500" s="312">
        <v>0.24</v>
      </c>
      <c r="J500" s="313">
        <v>0.1</v>
      </c>
    </row>
    <row r="501" spans="1:10" ht="17.25" thickBot="1" x14ac:dyDescent="0.35">
      <c r="A501" s="314" t="s">
        <v>802</v>
      </c>
      <c r="B501" s="315">
        <f t="shared" si="21"/>
        <v>0</v>
      </c>
      <c r="C501" s="315" t="str">
        <f t="shared" si="22"/>
        <v>Chocó</v>
      </c>
      <c r="D501" s="315" t="str">
        <f t="shared" si="23"/>
        <v>Nuquí, Chocó</v>
      </c>
      <c r="E501" s="311">
        <v>27495</v>
      </c>
      <c r="F501" s="312">
        <v>0.45</v>
      </c>
      <c r="G501" s="312">
        <v>0.4</v>
      </c>
      <c r="H501" s="312" t="s">
        <v>322</v>
      </c>
      <c r="I501" s="312">
        <v>0.24</v>
      </c>
      <c r="J501" s="313">
        <v>0.1</v>
      </c>
    </row>
    <row r="502" spans="1:10" ht="17.25" thickBot="1" x14ac:dyDescent="0.35">
      <c r="A502" s="314" t="s">
        <v>803</v>
      </c>
      <c r="B502" s="315">
        <f t="shared" si="21"/>
        <v>0</v>
      </c>
      <c r="C502" s="315" t="str">
        <f t="shared" si="22"/>
        <v>Chocó</v>
      </c>
      <c r="D502" s="315" t="str">
        <f t="shared" si="23"/>
        <v>Río Iro, Chocó</v>
      </c>
      <c r="E502" s="311">
        <v>27580</v>
      </c>
      <c r="F502" s="312">
        <v>0.35</v>
      </c>
      <c r="G502" s="312">
        <v>0.35</v>
      </c>
      <c r="H502" s="312" t="s">
        <v>322</v>
      </c>
      <c r="I502" s="312">
        <v>0.24</v>
      </c>
      <c r="J502" s="313">
        <v>0.1</v>
      </c>
    </row>
    <row r="503" spans="1:10" ht="17.25" thickBot="1" x14ac:dyDescent="0.35">
      <c r="A503" s="314" t="s">
        <v>804</v>
      </c>
      <c r="B503" s="315">
        <f t="shared" si="21"/>
        <v>0</v>
      </c>
      <c r="C503" s="315" t="str">
        <f t="shared" si="22"/>
        <v>Chocó</v>
      </c>
      <c r="D503" s="315" t="str">
        <f t="shared" si="23"/>
        <v>Río Quito, Chocó</v>
      </c>
      <c r="E503" s="311">
        <v>27600</v>
      </c>
      <c r="F503" s="312">
        <v>0.4</v>
      </c>
      <c r="G503" s="312">
        <v>0.4</v>
      </c>
      <c r="H503" s="312" t="s">
        <v>322</v>
      </c>
      <c r="I503" s="312">
        <v>0.24</v>
      </c>
      <c r="J503" s="313">
        <v>0.1</v>
      </c>
    </row>
    <row r="504" spans="1:10" ht="17.25" thickBot="1" x14ac:dyDescent="0.35">
      <c r="A504" s="314" t="s">
        <v>676</v>
      </c>
      <c r="B504" s="315">
        <f t="shared" si="21"/>
        <v>0</v>
      </c>
      <c r="C504" s="315" t="str">
        <f t="shared" si="22"/>
        <v>Chocó</v>
      </c>
      <c r="D504" s="315" t="str">
        <f t="shared" si="23"/>
        <v>Riosucio, Chocó</v>
      </c>
      <c r="E504" s="311">
        <v>27615</v>
      </c>
      <c r="F504" s="312">
        <v>0.35</v>
      </c>
      <c r="G504" s="312">
        <v>0.35</v>
      </c>
      <c r="H504" s="312" t="s">
        <v>322</v>
      </c>
      <c r="I504" s="312">
        <v>0.24</v>
      </c>
      <c r="J504" s="313">
        <v>0.1</v>
      </c>
    </row>
    <row r="505" spans="1:10" ht="17.25" thickBot="1" x14ac:dyDescent="0.35">
      <c r="A505" s="314" t="s">
        <v>805</v>
      </c>
      <c r="B505" s="315">
        <f t="shared" si="21"/>
        <v>0</v>
      </c>
      <c r="C505" s="315" t="str">
        <f t="shared" si="22"/>
        <v>Chocó</v>
      </c>
      <c r="D505" s="315" t="str">
        <f t="shared" si="23"/>
        <v>San José del Palmar, Chocó</v>
      </c>
      <c r="E505" s="311">
        <v>27660</v>
      </c>
      <c r="F505" s="312">
        <v>0.35</v>
      </c>
      <c r="G505" s="312">
        <v>0.3</v>
      </c>
      <c r="H505" s="312" t="s">
        <v>322</v>
      </c>
      <c r="I505" s="312">
        <v>0.24</v>
      </c>
      <c r="J505" s="313">
        <v>0.1</v>
      </c>
    </row>
    <row r="506" spans="1:10" ht="17.25" thickBot="1" x14ac:dyDescent="0.35">
      <c r="A506" s="314" t="s">
        <v>806</v>
      </c>
      <c r="B506" s="315">
        <f t="shared" si="21"/>
        <v>0</v>
      </c>
      <c r="C506" s="315" t="str">
        <f t="shared" si="22"/>
        <v>Chocó</v>
      </c>
      <c r="D506" s="315" t="str">
        <f t="shared" si="23"/>
        <v>Sipí, Chocó</v>
      </c>
      <c r="E506" s="311">
        <v>27745</v>
      </c>
      <c r="F506" s="312">
        <v>0.35</v>
      </c>
      <c r="G506" s="312">
        <v>0.35</v>
      </c>
      <c r="H506" s="312" t="s">
        <v>322</v>
      </c>
      <c r="I506" s="312">
        <v>0.24</v>
      </c>
      <c r="J506" s="313">
        <v>0.1</v>
      </c>
    </row>
    <row r="507" spans="1:10" ht="17.25" thickBot="1" x14ac:dyDescent="0.35">
      <c r="A507" s="314" t="s">
        <v>807</v>
      </c>
      <c r="B507" s="315">
        <f t="shared" si="21"/>
        <v>0</v>
      </c>
      <c r="C507" s="315" t="str">
        <f t="shared" si="22"/>
        <v>Chocó</v>
      </c>
      <c r="D507" s="315" t="str">
        <f t="shared" si="23"/>
        <v>Tadó, Chocó</v>
      </c>
      <c r="E507" s="311">
        <v>27787</v>
      </c>
      <c r="F507" s="312">
        <v>0.35</v>
      </c>
      <c r="G507" s="312">
        <v>0.35</v>
      </c>
      <c r="H507" s="312" t="s">
        <v>322</v>
      </c>
      <c r="I507" s="312">
        <v>0.24</v>
      </c>
      <c r="J507" s="313">
        <v>0.1</v>
      </c>
    </row>
    <row r="508" spans="1:10" ht="17.25" thickBot="1" x14ac:dyDescent="0.35">
      <c r="A508" s="314" t="s">
        <v>808</v>
      </c>
      <c r="B508" s="315">
        <f t="shared" si="21"/>
        <v>0</v>
      </c>
      <c r="C508" s="315" t="str">
        <f t="shared" si="22"/>
        <v>Chocó</v>
      </c>
      <c r="D508" s="315" t="str">
        <f t="shared" si="23"/>
        <v>Unguía, Chocó</v>
      </c>
      <c r="E508" s="311">
        <v>27800</v>
      </c>
      <c r="F508" s="312">
        <v>0.25</v>
      </c>
      <c r="G508" s="312">
        <v>0.25</v>
      </c>
      <c r="H508" s="312" t="s">
        <v>322</v>
      </c>
      <c r="I508" s="312">
        <v>0.15</v>
      </c>
      <c r="J508" s="313">
        <v>7.0000000000000007E-2</v>
      </c>
    </row>
    <row r="509" spans="1:10" ht="17.25" thickBot="1" x14ac:dyDescent="0.35">
      <c r="A509" s="314" t="s">
        <v>809</v>
      </c>
      <c r="B509" s="315">
        <f t="shared" si="21"/>
        <v>0</v>
      </c>
      <c r="C509" s="315" t="str">
        <f t="shared" si="22"/>
        <v>Chocó</v>
      </c>
      <c r="D509" s="315" t="str">
        <f t="shared" si="23"/>
        <v>Unión Panamericana, Chocó</v>
      </c>
      <c r="E509" s="311">
        <v>27810</v>
      </c>
      <c r="F509" s="312">
        <v>0.4</v>
      </c>
      <c r="G509" s="312">
        <v>0.4</v>
      </c>
      <c r="H509" s="312" t="s">
        <v>322</v>
      </c>
      <c r="I509" s="312">
        <v>0.24</v>
      </c>
      <c r="J509" s="313">
        <v>0.1</v>
      </c>
    </row>
    <row r="510" spans="1:10" ht="17.25" thickBot="1" x14ac:dyDescent="0.35">
      <c r="A510" s="299" t="s">
        <v>810</v>
      </c>
      <c r="B510" s="300">
        <f t="shared" si="21"/>
        <v>1</v>
      </c>
      <c r="C510" s="300" t="str">
        <f t="shared" si="22"/>
        <v>Córdoba</v>
      </c>
      <c r="D510" s="300" t="str">
        <f t="shared" si="23"/>
        <v/>
      </c>
      <c r="E510" s="301"/>
      <c r="F510" s="302"/>
      <c r="G510" s="302"/>
      <c r="H510" s="302"/>
      <c r="I510" s="302"/>
      <c r="J510" s="303"/>
    </row>
    <row r="511" spans="1:10" ht="17.25" thickBot="1" x14ac:dyDescent="0.35">
      <c r="A511" s="309" t="s">
        <v>811</v>
      </c>
      <c r="B511" s="310">
        <f t="shared" si="21"/>
        <v>0</v>
      </c>
      <c r="C511" s="310" t="str">
        <f t="shared" si="22"/>
        <v>Córdoba</v>
      </c>
      <c r="D511" s="310" t="str">
        <f t="shared" si="23"/>
        <v>Montería, Córdoba</v>
      </c>
      <c r="E511" s="311">
        <v>23001</v>
      </c>
      <c r="F511" s="312">
        <v>0.1</v>
      </c>
      <c r="G511" s="312">
        <v>0.15</v>
      </c>
      <c r="H511" s="312" t="s">
        <v>40</v>
      </c>
      <c r="I511" s="312">
        <v>7.0000000000000007E-2</v>
      </c>
      <c r="J511" s="313">
        <v>0.04</v>
      </c>
    </row>
    <row r="512" spans="1:10" ht="17.25" thickBot="1" x14ac:dyDescent="0.35">
      <c r="A512" s="314" t="s">
        <v>812</v>
      </c>
      <c r="B512" s="315">
        <f t="shared" si="21"/>
        <v>0</v>
      </c>
      <c r="C512" s="315" t="str">
        <f t="shared" si="22"/>
        <v>Córdoba</v>
      </c>
      <c r="D512" s="315" t="str">
        <f t="shared" si="23"/>
        <v>Ayapel, Córdoba</v>
      </c>
      <c r="E512" s="311">
        <v>23068</v>
      </c>
      <c r="F512" s="312">
        <v>0.15</v>
      </c>
      <c r="G512" s="312">
        <v>0.15</v>
      </c>
      <c r="H512" s="312" t="s">
        <v>40</v>
      </c>
      <c r="I512" s="312">
        <v>7.0000000000000007E-2</v>
      </c>
      <c r="J512" s="313">
        <v>0.04</v>
      </c>
    </row>
    <row r="513" spans="1:10" ht="17.25" thickBot="1" x14ac:dyDescent="0.35">
      <c r="A513" s="314" t="s">
        <v>547</v>
      </c>
      <c r="B513" s="315">
        <f t="shared" si="21"/>
        <v>0</v>
      </c>
      <c r="C513" s="315" t="str">
        <f t="shared" si="22"/>
        <v>Córdoba</v>
      </c>
      <c r="D513" s="315" t="str">
        <f t="shared" si="23"/>
        <v>Buenavista, Córdoba</v>
      </c>
      <c r="E513" s="311">
        <v>23079</v>
      </c>
      <c r="F513" s="312">
        <v>0.15</v>
      </c>
      <c r="G513" s="312">
        <v>0.2</v>
      </c>
      <c r="H513" s="312" t="s">
        <v>40</v>
      </c>
      <c r="I513" s="312">
        <v>0.08</v>
      </c>
      <c r="J513" s="313">
        <v>0.04</v>
      </c>
    </row>
    <row r="514" spans="1:10" ht="17.25" thickBot="1" x14ac:dyDescent="0.35">
      <c r="A514" s="314" t="s">
        <v>813</v>
      </c>
      <c r="B514" s="315">
        <f t="shared" si="21"/>
        <v>0</v>
      </c>
      <c r="C514" s="315" t="str">
        <f t="shared" si="22"/>
        <v>Córdoba</v>
      </c>
      <c r="D514" s="315" t="str">
        <f t="shared" si="23"/>
        <v>Canalete, Córdoba</v>
      </c>
      <c r="E514" s="311">
        <v>23090</v>
      </c>
      <c r="F514" s="312">
        <v>0.1</v>
      </c>
      <c r="G514" s="312">
        <v>0.2</v>
      </c>
      <c r="H514" s="312" t="s">
        <v>40</v>
      </c>
      <c r="I514" s="312">
        <v>0.08</v>
      </c>
      <c r="J514" s="313">
        <v>0.04</v>
      </c>
    </row>
    <row r="515" spans="1:10" ht="17.25" thickBot="1" x14ac:dyDescent="0.35">
      <c r="A515" s="314" t="s">
        <v>814</v>
      </c>
      <c r="B515" s="315">
        <f t="shared" ref="B515:B578" si="24">IFERROR(FIND("Departamento",A515),0)</f>
        <v>0</v>
      </c>
      <c r="C515" s="315" t="str">
        <f t="shared" ref="C515:C578" si="25">IF(B515=1,IF(ISERROR(FIND("del",A515)),MID(A515,17,30),MID(A515,18,30)),C514)</f>
        <v>Córdoba</v>
      </c>
      <c r="D515" s="315" t="str">
        <f t="shared" ref="D515:D578" si="26">IF(B515=1,"",CONCATENATE(A515,", ",C515))</f>
        <v>Cereté, Córdoba</v>
      </c>
      <c r="E515" s="311">
        <v>23162</v>
      </c>
      <c r="F515" s="312">
        <v>0.1</v>
      </c>
      <c r="G515" s="312">
        <v>0.15</v>
      </c>
      <c r="H515" s="312" t="s">
        <v>40</v>
      </c>
      <c r="I515" s="312">
        <v>0.06</v>
      </c>
      <c r="J515" s="313">
        <v>0.04</v>
      </c>
    </row>
    <row r="516" spans="1:10" ht="17.25" thickBot="1" x14ac:dyDescent="0.35">
      <c r="A516" s="314" t="s">
        <v>815</v>
      </c>
      <c r="B516" s="315">
        <f t="shared" si="24"/>
        <v>0</v>
      </c>
      <c r="C516" s="315" t="str">
        <f t="shared" si="25"/>
        <v>Córdoba</v>
      </c>
      <c r="D516" s="315" t="str">
        <f t="shared" si="26"/>
        <v>Chimá, Córdoba</v>
      </c>
      <c r="E516" s="311">
        <v>23168</v>
      </c>
      <c r="F516" s="312">
        <v>0.1</v>
      </c>
      <c r="G516" s="312">
        <v>0.15</v>
      </c>
      <c r="H516" s="312" t="s">
        <v>40</v>
      </c>
      <c r="I516" s="312">
        <v>7.0000000000000007E-2</v>
      </c>
      <c r="J516" s="313">
        <v>0.04</v>
      </c>
    </row>
    <row r="517" spans="1:10" ht="17.25" thickBot="1" x14ac:dyDescent="0.35">
      <c r="A517" s="314" t="s">
        <v>816</v>
      </c>
      <c r="B517" s="315">
        <f t="shared" si="24"/>
        <v>0</v>
      </c>
      <c r="C517" s="315" t="str">
        <f t="shared" si="25"/>
        <v>Córdoba</v>
      </c>
      <c r="D517" s="315" t="str">
        <f t="shared" si="26"/>
        <v>Chinú, Córdoba</v>
      </c>
      <c r="E517" s="311">
        <v>23182</v>
      </c>
      <c r="F517" s="312">
        <v>0.1</v>
      </c>
      <c r="G517" s="312">
        <v>0.15</v>
      </c>
      <c r="H517" s="312" t="s">
        <v>40</v>
      </c>
      <c r="I517" s="312">
        <v>0.08</v>
      </c>
      <c r="J517" s="313">
        <v>0.04</v>
      </c>
    </row>
    <row r="518" spans="1:10" ht="17.25" thickBot="1" x14ac:dyDescent="0.35">
      <c r="A518" s="314" t="s">
        <v>817</v>
      </c>
      <c r="B518" s="315">
        <f t="shared" si="24"/>
        <v>0</v>
      </c>
      <c r="C518" s="315" t="str">
        <f t="shared" si="25"/>
        <v>Córdoba</v>
      </c>
      <c r="D518" s="315" t="str">
        <f t="shared" si="26"/>
        <v>Ciénaga De Oro, Córdoba</v>
      </c>
      <c r="E518" s="311">
        <v>23189</v>
      </c>
      <c r="F518" s="312">
        <v>0.1</v>
      </c>
      <c r="G518" s="312">
        <v>0.15</v>
      </c>
      <c r="H518" s="312" t="s">
        <v>40</v>
      </c>
      <c r="I518" s="312">
        <v>0.08</v>
      </c>
      <c r="J518" s="313">
        <v>0.04</v>
      </c>
    </row>
    <row r="519" spans="1:10" ht="17.25" thickBot="1" x14ac:dyDescent="0.35">
      <c r="A519" s="314" t="s">
        <v>818</v>
      </c>
      <c r="B519" s="315">
        <f t="shared" si="24"/>
        <v>0</v>
      </c>
      <c r="C519" s="315" t="str">
        <f t="shared" si="25"/>
        <v>Córdoba</v>
      </c>
      <c r="D519" s="315" t="str">
        <f t="shared" si="26"/>
        <v>Cotorra, Córdoba</v>
      </c>
      <c r="E519" s="311">
        <v>23300</v>
      </c>
      <c r="F519" s="312">
        <v>0.1</v>
      </c>
      <c r="G519" s="312">
        <v>0.15</v>
      </c>
      <c r="H519" s="312" t="s">
        <v>40</v>
      </c>
      <c r="I519" s="312">
        <v>0.06</v>
      </c>
      <c r="J519" s="313">
        <v>0.03</v>
      </c>
    </row>
    <row r="520" spans="1:10" ht="17.25" thickBot="1" x14ac:dyDescent="0.35">
      <c r="A520" s="314" t="s">
        <v>819</v>
      </c>
      <c r="B520" s="315">
        <f t="shared" si="24"/>
        <v>0</v>
      </c>
      <c r="C520" s="315" t="str">
        <f t="shared" si="25"/>
        <v>Córdoba</v>
      </c>
      <c r="D520" s="315" t="str">
        <f t="shared" si="26"/>
        <v>La Apartada, Córdoba</v>
      </c>
      <c r="E520" s="311">
        <v>23350</v>
      </c>
      <c r="F520" s="312">
        <v>0.15</v>
      </c>
      <c r="G520" s="312">
        <v>0.2</v>
      </c>
      <c r="H520" s="312" t="s">
        <v>40</v>
      </c>
      <c r="I520" s="312">
        <v>0.08</v>
      </c>
      <c r="J520" s="313">
        <v>0.04</v>
      </c>
    </row>
    <row r="521" spans="1:10" ht="17.25" thickBot="1" x14ac:dyDescent="0.35">
      <c r="A521" s="314" t="s">
        <v>820</v>
      </c>
      <c r="B521" s="315">
        <f t="shared" si="24"/>
        <v>0</v>
      </c>
      <c r="C521" s="315" t="str">
        <f t="shared" si="25"/>
        <v>Córdoba</v>
      </c>
      <c r="D521" s="315" t="str">
        <f t="shared" si="26"/>
        <v>Lorica, Córdoba</v>
      </c>
      <c r="E521" s="311">
        <v>23417</v>
      </c>
      <c r="F521" s="312">
        <v>0.1</v>
      </c>
      <c r="G521" s="312">
        <v>0.15</v>
      </c>
      <c r="H521" s="312" t="s">
        <v>40</v>
      </c>
      <c r="I521" s="312">
        <v>0.05</v>
      </c>
      <c r="J521" s="313">
        <v>0.03</v>
      </c>
    </row>
    <row r="522" spans="1:10" ht="17.25" thickBot="1" x14ac:dyDescent="0.35">
      <c r="A522" s="314" t="s">
        <v>821</v>
      </c>
      <c r="B522" s="315">
        <f t="shared" si="24"/>
        <v>0</v>
      </c>
      <c r="C522" s="315" t="str">
        <f t="shared" si="25"/>
        <v>Córdoba</v>
      </c>
      <c r="D522" s="315" t="str">
        <f t="shared" si="26"/>
        <v>Los Córdobas, Córdoba</v>
      </c>
      <c r="E522" s="311">
        <v>23419</v>
      </c>
      <c r="F522" s="312">
        <v>0.1</v>
      </c>
      <c r="G522" s="312">
        <v>0.2</v>
      </c>
      <c r="H522" s="312" t="s">
        <v>40</v>
      </c>
      <c r="I522" s="312">
        <v>0.08</v>
      </c>
      <c r="J522" s="313">
        <v>0.05</v>
      </c>
    </row>
    <row r="523" spans="1:10" ht="17.25" thickBot="1" x14ac:dyDescent="0.35">
      <c r="A523" s="314" t="s">
        <v>822</v>
      </c>
      <c r="B523" s="315">
        <f t="shared" si="24"/>
        <v>0</v>
      </c>
      <c r="C523" s="315" t="str">
        <f t="shared" si="25"/>
        <v>Córdoba</v>
      </c>
      <c r="D523" s="315" t="str">
        <f t="shared" si="26"/>
        <v>Moñitos, Córdoba</v>
      </c>
      <c r="E523" s="311">
        <v>23500</v>
      </c>
      <c r="F523" s="312">
        <v>0.1</v>
      </c>
      <c r="G523" s="312">
        <v>0.15</v>
      </c>
      <c r="H523" s="312" t="s">
        <v>40</v>
      </c>
      <c r="I523" s="312">
        <v>0.05</v>
      </c>
      <c r="J523" s="313">
        <v>0.03</v>
      </c>
    </row>
    <row r="524" spans="1:10" ht="17.25" thickBot="1" x14ac:dyDescent="0.35">
      <c r="A524" s="314" t="s">
        <v>823</v>
      </c>
      <c r="B524" s="315">
        <f t="shared" si="24"/>
        <v>0</v>
      </c>
      <c r="C524" s="315" t="str">
        <f t="shared" si="25"/>
        <v>Córdoba</v>
      </c>
      <c r="D524" s="315" t="str">
        <f t="shared" si="26"/>
        <v>Momil, Córdoba</v>
      </c>
      <c r="E524" s="311">
        <v>23464</v>
      </c>
      <c r="F524" s="312">
        <v>0.1</v>
      </c>
      <c r="G524" s="312">
        <v>0.15</v>
      </c>
      <c r="H524" s="312" t="s">
        <v>40</v>
      </c>
      <c r="I524" s="312">
        <v>7.0000000000000007E-2</v>
      </c>
      <c r="J524" s="313">
        <v>0.03</v>
      </c>
    </row>
    <row r="525" spans="1:10" ht="17.25" thickBot="1" x14ac:dyDescent="0.35">
      <c r="A525" s="314" t="s">
        <v>824</v>
      </c>
      <c r="B525" s="315">
        <f t="shared" si="24"/>
        <v>0</v>
      </c>
      <c r="C525" s="315" t="str">
        <f t="shared" si="25"/>
        <v>Córdoba</v>
      </c>
      <c r="D525" s="315" t="str">
        <f t="shared" si="26"/>
        <v>Montelíbano, Córdoba</v>
      </c>
      <c r="E525" s="311">
        <v>23466</v>
      </c>
      <c r="F525" s="312">
        <v>0.15</v>
      </c>
      <c r="G525" s="312">
        <v>0.2</v>
      </c>
      <c r="H525" s="312" t="s">
        <v>40</v>
      </c>
      <c r="I525" s="312">
        <v>0.08</v>
      </c>
      <c r="J525" s="313">
        <v>0.04</v>
      </c>
    </row>
    <row r="526" spans="1:10" ht="17.25" thickBot="1" x14ac:dyDescent="0.35">
      <c r="A526" s="314" t="s">
        <v>825</v>
      </c>
      <c r="B526" s="315">
        <f t="shared" si="24"/>
        <v>0</v>
      </c>
      <c r="C526" s="315" t="str">
        <f t="shared" si="25"/>
        <v>Córdoba</v>
      </c>
      <c r="D526" s="315" t="str">
        <f t="shared" si="26"/>
        <v>Planeta Rica, Córdoba</v>
      </c>
      <c r="E526" s="311">
        <v>23555</v>
      </c>
      <c r="F526" s="312">
        <v>0.15</v>
      </c>
      <c r="G526" s="312">
        <v>0.2</v>
      </c>
      <c r="H526" s="312" t="s">
        <v>40</v>
      </c>
      <c r="I526" s="312">
        <v>0.08</v>
      </c>
      <c r="J526" s="313">
        <v>0.04</v>
      </c>
    </row>
    <row r="527" spans="1:10" ht="17.25" thickBot="1" x14ac:dyDescent="0.35">
      <c r="A527" s="314" t="s">
        <v>826</v>
      </c>
      <c r="B527" s="315">
        <f t="shared" si="24"/>
        <v>0</v>
      </c>
      <c r="C527" s="315" t="str">
        <f t="shared" si="25"/>
        <v>Córdoba</v>
      </c>
      <c r="D527" s="315" t="str">
        <f t="shared" si="26"/>
        <v>Pueblo Nuevo, Córdoba</v>
      </c>
      <c r="E527" s="311">
        <v>23570</v>
      </c>
      <c r="F527" s="312">
        <v>0.15</v>
      </c>
      <c r="G527" s="312">
        <v>0.15</v>
      </c>
      <c r="H527" s="312" t="s">
        <v>40</v>
      </c>
      <c r="I527" s="312">
        <v>0.08</v>
      </c>
      <c r="J527" s="313">
        <v>0.05</v>
      </c>
    </row>
    <row r="528" spans="1:10" ht="17.25" thickBot="1" x14ac:dyDescent="0.35">
      <c r="A528" s="314" t="s">
        <v>827</v>
      </c>
      <c r="B528" s="315">
        <f t="shared" si="24"/>
        <v>0</v>
      </c>
      <c r="C528" s="315" t="str">
        <f t="shared" si="25"/>
        <v>Córdoba</v>
      </c>
      <c r="D528" s="315" t="str">
        <f t="shared" si="26"/>
        <v>Puerto Escondido, Córdoba</v>
      </c>
      <c r="E528" s="311">
        <v>23574</v>
      </c>
      <c r="F528" s="312">
        <v>0.1</v>
      </c>
      <c r="G528" s="312">
        <v>0.2</v>
      </c>
      <c r="H528" s="312" t="s">
        <v>40</v>
      </c>
      <c r="I528" s="312">
        <v>0.06</v>
      </c>
      <c r="J528" s="313">
        <v>0.04</v>
      </c>
    </row>
    <row r="529" spans="1:10" ht="17.25" thickBot="1" x14ac:dyDescent="0.35">
      <c r="A529" s="314" t="s">
        <v>828</v>
      </c>
      <c r="B529" s="315">
        <f t="shared" si="24"/>
        <v>0</v>
      </c>
      <c r="C529" s="315" t="str">
        <f t="shared" si="25"/>
        <v>Córdoba</v>
      </c>
      <c r="D529" s="315" t="str">
        <f t="shared" si="26"/>
        <v>Puerto Libertador, Córdoba</v>
      </c>
      <c r="E529" s="311">
        <v>23580</v>
      </c>
      <c r="F529" s="312">
        <v>0.15</v>
      </c>
      <c r="G529" s="312">
        <v>0.2</v>
      </c>
      <c r="H529" s="312" t="s">
        <v>40</v>
      </c>
      <c r="I529" s="312">
        <v>0.08</v>
      </c>
      <c r="J529" s="313">
        <v>0.04</v>
      </c>
    </row>
    <row r="530" spans="1:10" ht="17.25" thickBot="1" x14ac:dyDescent="0.35">
      <c r="A530" s="314" t="s">
        <v>829</v>
      </c>
      <c r="B530" s="315">
        <f t="shared" si="24"/>
        <v>0</v>
      </c>
      <c r="C530" s="315" t="str">
        <f t="shared" si="25"/>
        <v>Córdoba</v>
      </c>
      <c r="D530" s="315" t="str">
        <f t="shared" si="26"/>
        <v>Purísima, Córdoba</v>
      </c>
      <c r="E530" s="311">
        <v>23586</v>
      </c>
      <c r="F530" s="312">
        <v>0.1</v>
      </c>
      <c r="G530" s="312">
        <v>0.15</v>
      </c>
      <c r="H530" s="312" t="s">
        <v>40</v>
      </c>
      <c r="I530" s="312">
        <v>0.06</v>
      </c>
      <c r="J530" s="313">
        <v>0.03</v>
      </c>
    </row>
    <row r="531" spans="1:10" ht="17.25" thickBot="1" x14ac:dyDescent="0.35">
      <c r="A531" s="314" t="s">
        <v>830</v>
      </c>
      <c r="B531" s="315">
        <f t="shared" si="24"/>
        <v>0</v>
      </c>
      <c r="C531" s="315" t="str">
        <f t="shared" si="25"/>
        <v>Córdoba</v>
      </c>
      <c r="D531" s="315" t="str">
        <f t="shared" si="26"/>
        <v>Sahagún, Córdoba</v>
      </c>
      <c r="E531" s="311">
        <v>23660</v>
      </c>
      <c r="F531" s="312">
        <v>0.15</v>
      </c>
      <c r="G531" s="312">
        <v>0.15</v>
      </c>
      <c r="H531" s="312" t="s">
        <v>40</v>
      </c>
      <c r="I531" s="312">
        <v>0.08</v>
      </c>
      <c r="J531" s="313">
        <v>0.04</v>
      </c>
    </row>
    <row r="532" spans="1:10" ht="17.25" thickBot="1" x14ac:dyDescent="0.35">
      <c r="A532" s="314" t="s">
        <v>831</v>
      </c>
      <c r="B532" s="315">
        <f t="shared" si="24"/>
        <v>0</v>
      </c>
      <c r="C532" s="315" t="str">
        <f t="shared" si="25"/>
        <v>Córdoba</v>
      </c>
      <c r="D532" s="315" t="str">
        <f t="shared" si="26"/>
        <v>San Andrés De Sotavento, Córdoba</v>
      </c>
      <c r="E532" s="311">
        <v>23670</v>
      </c>
      <c r="F532" s="312">
        <v>0.1</v>
      </c>
      <c r="G532" s="312">
        <v>0.15</v>
      </c>
      <c r="H532" s="312" t="s">
        <v>40</v>
      </c>
      <c r="I532" s="312">
        <v>0.08</v>
      </c>
      <c r="J532" s="313">
        <v>0.04</v>
      </c>
    </row>
    <row r="533" spans="1:10" ht="17.25" thickBot="1" x14ac:dyDescent="0.35">
      <c r="A533" s="314" t="s">
        <v>832</v>
      </c>
      <c r="B533" s="315">
        <f t="shared" si="24"/>
        <v>0</v>
      </c>
      <c r="C533" s="315" t="str">
        <f t="shared" si="25"/>
        <v>Córdoba</v>
      </c>
      <c r="D533" s="315" t="str">
        <f t="shared" si="26"/>
        <v>San Antero, Córdoba</v>
      </c>
      <c r="E533" s="311">
        <v>23672</v>
      </c>
      <c r="F533" s="312">
        <v>0.1</v>
      </c>
      <c r="G533" s="312">
        <v>0.15</v>
      </c>
      <c r="H533" s="312" t="s">
        <v>40</v>
      </c>
      <c r="I533" s="312">
        <v>0.05</v>
      </c>
      <c r="J533" s="313">
        <v>0.03</v>
      </c>
    </row>
    <row r="534" spans="1:10" ht="17.25" thickBot="1" x14ac:dyDescent="0.35">
      <c r="A534" s="314" t="s">
        <v>833</v>
      </c>
      <c r="B534" s="315">
        <f t="shared" si="24"/>
        <v>0</v>
      </c>
      <c r="C534" s="315" t="str">
        <f t="shared" si="25"/>
        <v>Córdoba</v>
      </c>
      <c r="D534" s="315" t="str">
        <f t="shared" si="26"/>
        <v>San Bernardo del Viento, Córdoba</v>
      </c>
      <c r="E534" s="311">
        <v>23675</v>
      </c>
      <c r="F534" s="312">
        <v>0.1</v>
      </c>
      <c r="G534" s="312">
        <v>0.15</v>
      </c>
      <c r="H534" s="312" t="s">
        <v>40</v>
      </c>
      <c r="I534" s="312">
        <v>0.05</v>
      </c>
      <c r="J534" s="313">
        <v>0.03</v>
      </c>
    </row>
    <row r="535" spans="1:10" ht="17.25" thickBot="1" x14ac:dyDescent="0.35">
      <c r="A535" s="314" t="s">
        <v>424</v>
      </c>
      <c r="B535" s="315">
        <f t="shared" si="24"/>
        <v>0</v>
      </c>
      <c r="C535" s="315" t="str">
        <f t="shared" si="25"/>
        <v>Córdoba</v>
      </c>
      <c r="D535" s="315" t="str">
        <f t="shared" si="26"/>
        <v>San Carlos, Córdoba</v>
      </c>
      <c r="E535" s="311">
        <v>23678</v>
      </c>
      <c r="F535" s="312">
        <v>0.1</v>
      </c>
      <c r="G535" s="312">
        <v>0.15</v>
      </c>
      <c r="H535" s="312" t="s">
        <v>40</v>
      </c>
      <c r="I535" s="312">
        <v>0.08</v>
      </c>
      <c r="J535" s="313">
        <v>0.04</v>
      </c>
    </row>
    <row r="536" spans="1:10" ht="17.25" thickBot="1" x14ac:dyDescent="0.35">
      <c r="A536" s="314" t="s">
        <v>834</v>
      </c>
      <c r="B536" s="315">
        <f t="shared" si="24"/>
        <v>0</v>
      </c>
      <c r="C536" s="315" t="str">
        <f t="shared" si="25"/>
        <v>Córdoba</v>
      </c>
      <c r="D536" s="315" t="str">
        <f t="shared" si="26"/>
        <v>San Pelayo, Córdoba</v>
      </c>
      <c r="E536" s="311">
        <v>23686</v>
      </c>
      <c r="F536" s="312">
        <v>0.1</v>
      </c>
      <c r="G536" s="312">
        <v>0.15</v>
      </c>
      <c r="H536" s="312" t="s">
        <v>40</v>
      </c>
      <c r="I536" s="312">
        <v>0.06</v>
      </c>
      <c r="J536" s="313">
        <v>0.03</v>
      </c>
    </row>
    <row r="537" spans="1:10" ht="17.25" thickBot="1" x14ac:dyDescent="0.35">
      <c r="A537" s="314" t="s">
        <v>835</v>
      </c>
      <c r="B537" s="315">
        <f t="shared" si="24"/>
        <v>0</v>
      </c>
      <c r="C537" s="315" t="str">
        <f t="shared" si="25"/>
        <v>Córdoba</v>
      </c>
      <c r="D537" s="315" t="str">
        <f t="shared" si="26"/>
        <v>Tierralta, Córdoba</v>
      </c>
      <c r="E537" s="311">
        <v>23807</v>
      </c>
      <c r="F537" s="312">
        <v>0.2</v>
      </c>
      <c r="G537" s="312">
        <v>0.2</v>
      </c>
      <c r="H537" s="312" t="s">
        <v>40</v>
      </c>
      <c r="I537" s="312">
        <v>0.08</v>
      </c>
      <c r="J537" s="313">
        <v>0.04</v>
      </c>
    </row>
    <row r="538" spans="1:10" ht="17.25" thickBot="1" x14ac:dyDescent="0.35">
      <c r="A538" s="314" t="s">
        <v>836</v>
      </c>
      <c r="B538" s="315">
        <f t="shared" si="24"/>
        <v>0</v>
      </c>
      <c r="C538" s="315" t="str">
        <f t="shared" si="25"/>
        <v>Córdoba</v>
      </c>
      <c r="D538" s="315" t="str">
        <f t="shared" si="26"/>
        <v>Valencia, Córdoba</v>
      </c>
      <c r="E538" s="311">
        <v>23855</v>
      </c>
      <c r="F538" s="312">
        <v>0.15</v>
      </c>
      <c r="G538" s="312">
        <v>0.2</v>
      </c>
      <c r="H538" s="312" t="s">
        <v>40</v>
      </c>
      <c r="I538" s="312">
        <v>0.08</v>
      </c>
      <c r="J538" s="313">
        <v>0.04</v>
      </c>
    </row>
    <row r="539" spans="1:10" ht="17.25" thickBot="1" x14ac:dyDescent="0.35">
      <c r="A539" s="299" t="s">
        <v>837</v>
      </c>
      <c r="B539" s="300">
        <f t="shared" si="24"/>
        <v>1</v>
      </c>
      <c r="C539" s="300" t="str">
        <f t="shared" si="25"/>
        <v>Cundinamarca</v>
      </c>
      <c r="D539" s="300" t="str">
        <f t="shared" si="26"/>
        <v/>
      </c>
      <c r="E539" s="301"/>
      <c r="F539" s="302"/>
      <c r="G539" s="302"/>
      <c r="H539" s="302"/>
      <c r="I539" s="302"/>
      <c r="J539" s="303"/>
    </row>
    <row r="540" spans="1:10" ht="17.25" thickBot="1" x14ac:dyDescent="0.35">
      <c r="A540" s="309" t="s">
        <v>248</v>
      </c>
      <c r="B540" s="310">
        <f t="shared" si="24"/>
        <v>0</v>
      </c>
      <c r="C540" s="310" t="str">
        <f t="shared" si="25"/>
        <v>Cundinamarca</v>
      </c>
      <c r="D540" s="310" t="str">
        <f t="shared" si="26"/>
        <v>Bogotá D.C., Cundinamarca</v>
      </c>
      <c r="E540" s="311">
        <v>11001</v>
      </c>
      <c r="F540" s="312">
        <v>0.15</v>
      </c>
      <c r="G540" s="312">
        <v>0.2</v>
      </c>
      <c r="H540" s="312" t="s">
        <v>40</v>
      </c>
      <c r="I540" s="312">
        <v>0.13</v>
      </c>
      <c r="J540" s="313">
        <v>0.06</v>
      </c>
    </row>
    <row r="541" spans="1:10" ht="17.25" thickBot="1" x14ac:dyDescent="0.35">
      <c r="A541" s="314" t="s">
        <v>838</v>
      </c>
      <c r="B541" s="315">
        <f t="shared" si="24"/>
        <v>0</v>
      </c>
      <c r="C541" s="315" t="str">
        <f t="shared" si="25"/>
        <v>Cundinamarca</v>
      </c>
      <c r="D541" s="315" t="str">
        <f t="shared" si="26"/>
        <v>Agua De Dios, Cundinamarca</v>
      </c>
      <c r="E541" s="311">
        <v>25001</v>
      </c>
      <c r="F541" s="312">
        <v>0.2</v>
      </c>
      <c r="G541" s="312">
        <v>0.2</v>
      </c>
      <c r="H541" s="312" t="s">
        <v>40</v>
      </c>
      <c r="I541" s="312">
        <v>0.11</v>
      </c>
      <c r="J541" s="313">
        <v>0.06</v>
      </c>
    </row>
    <row r="542" spans="1:10" ht="17.25" thickBot="1" x14ac:dyDescent="0.35">
      <c r="A542" s="314" t="s">
        <v>839</v>
      </c>
      <c r="B542" s="315">
        <f t="shared" si="24"/>
        <v>0</v>
      </c>
      <c r="C542" s="315" t="str">
        <f t="shared" si="25"/>
        <v>Cundinamarca</v>
      </c>
      <c r="D542" s="315" t="str">
        <f t="shared" si="26"/>
        <v>Albán, Cundinamarca</v>
      </c>
      <c r="E542" s="311">
        <v>25019</v>
      </c>
      <c r="F542" s="312">
        <v>0.15</v>
      </c>
      <c r="G542" s="312">
        <v>0.2</v>
      </c>
      <c r="H542" s="312" t="s">
        <v>40</v>
      </c>
      <c r="I542" s="312">
        <v>0.16</v>
      </c>
      <c r="J542" s="313">
        <v>0.06</v>
      </c>
    </row>
    <row r="543" spans="1:10" ht="17.25" thickBot="1" x14ac:dyDescent="0.35">
      <c r="A543" s="314" t="s">
        <v>840</v>
      </c>
      <c r="B543" s="315">
        <f t="shared" si="24"/>
        <v>0</v>
      </c>
      <c r="C543" s="315" t="str">
        <f t="shared" si="25"/>
        <v>Cundinamarca</v>
      </c>
      <c r="D543" s="315" t="str">
        <f t="shared" si="26"/>
        <v>Anapóima, Cundinamarca</v>
      </c>
      <c r="E543" s="311">
        <v>25035</v>
      </c>
      <c r="F543" s="312">
        <v>0.15</v>
      </c>
      <c r="G543" s="312">
        <v>0.2</v>
      </c>
      <c r="H543" s="312" t="s">
        <v>40</v>
      </c>
      <c r="I543" s="312">
        <v>0.13</v>
      </c>
      <c r="J543" s="313">
        <v>0.06</v>
      </c>
    </row>
    <row r="544" spans="1:10" ht="17.25" thickBot="1" x14ac:dyDescent="0.35">
      <c r="A544" s="314" t="s">
        <v>841</v>
      </c>
      <c r="B544" s="315">
        <f t="shared" si="24"/>
        <v>0</v>
      </c>
      <c r="C544" s="315" t="str">
        <f t="shared" si="25"/>
        <v>Cundinamarca</v>
      </c>
      <c r="D544" s="315" t="str">
        <f t="shared" si="26"/>
        <v>Anolaima, Cundinamarca</v>
      </c>
      <c r="E544" s="311">
        <v>25040</v>
      </c>
      <c r="F544" s="312">
        <v>0.15</v>
      </c>
      <c r="G544" s="312">
        <v>0.2</v>
      </c>
      <c r="H544" s="312" t="s">
        <v>40</v>
      </c>
      <c r="I544" s="312">
        <v>0.16</v>
      </c>
      <c r="J544" s="313">
        <v>0.06</v>
      </c>
    </row>
    <row r="545" spans="1:10" ht="17.25" thickBot="1" x14ac:dyDescent="0.35">
      <c r="A545" s="314" t="s">
        <v>842</v>
      </c>
      <c r="B545" s="315">
        <f t="shared" si="24"/>
        <v>0</v>
      </c>
      <c r="C545" s="315" t="str">
        <f t="shared" si="25"/>
        <v>Cundinamarca</v>
      </c>
      <c r="D545" s="315" t="str">
        <f t="shared" si="26"/>
        <v>Apulo, Cundinamarca</v>
      </c>
      <c r="E545" s="311">
        <v>25599</v>
      </c>
      <c r="F545" s="312">
        <v>0.2</v>
      </c>
      <c r="G545" s="312">
        <v>0.2</v>
      </c>
      <c r="H545" s="312" t="s">
        <v>40</v>
      </c>
      <c r="I545" s="312">
        <v>0.12</v>
      </c>
      <c r="J545" s="313">
        <v>0.06</v>
      </c>
    </row>
    <row r="546" spans="1:10" ht="17.25" thickBot="1" x14ac:dyDescent="0.35">
      <c r="A546" s="314" t="s">
        <v>843</v>
      </c>
      <c r="B546" s="315">
        <f t="shared" si="24"/>
        <v>0</v>
      </c>
      <c r="C546" s="315" t="str">
        <f t="shared" si="25"/>
        <v>Cundinamarca</v>
      </c>
      <c r="D546" s="315" t="str">
        <f t="shared" si="26"/>
        <v>Arbeláez, Cundinamarca</v>
      </c>
      <c r="E546" s="311">
        <v>25053</v>
      </c>
      <c r="F546" s="312">
        <v>0.2</v>
      </c>
      <c r="G546" s="312">
        <v>0.2</v>
      </c>
      <c r="H546" s="312" t="s">
        <v>40</v>
      </c>
      <c r="I546" s="312">
        <v>0.09</v>
      </c>
      <c r="J546" s="313">
        <v>0.05</v>
      </c>
    </row>
    <row r="547" spans="1:10" ht="17.25" thickBot="1" x14ac:dyDescent="0.35">
      <c r="A547" s="314" t="s">
        <v>844</v>
      </c>
      <c r="B547" s="315">
        <f t="shared" si="24"/>
        <v>0</v>
      </c>
      <c r="C547" s="315" t="str">
        <f t="shared" si="25"/>
        <v>Cundinamarca</v>
      </c>
      <c r="D547" s="315" t="str">
        <f t="shared" si="26"/>
        <v>Beltrán, Cundinamarca</v>
      </c>
      <c r="E547" s="311">
        <v>25086</v>
      </c>
      <c r="F547" s="312">
        <v>0.2</v>
      </c>
      <c r="G547" s="312">
        <v>0.2</v>
      </c>
      <c r="H547" s="312" t="s">
        <v>40</v>
      </c>
      <c r="I547" s="312">
        <v>0.13</v>
      </c>
      <c r="J547" s="313">
        <v>0.06</v>
      </c>
    </row>
    <row r="548" spans="1:10" ht="17.25" thickBot="1" x14ac:dyDescent="0.35">
      <c r="A548" s="314" t="s">
        <v>845</v>
      </c>
      <c r="B548" s="315">
        <f t="shared" si="24"/>
        <v>0</v>
      </c>
      <c r="C548" s="315" t="str">
        <f t="shared" si="25"/>
        <v>Cundinamarca</v>
      </c>
      <c r="D548" s="315" t="str">
        <f t="shared" si="26"/>
        <v>Bituima, Cundinamarca</v>
      </c>
      <c r="E548" s="311">
        <v>25095</v>
      </c>
      <c r="F548" s="312">
        <v>0.15</v>
      </c>
      <c r="G548" s="312">
        <v>0.2</v>
      </c>
      <c r="H548" s="312" t="s">
        <v>40</v>
      </c>
      <c r="I548" s="312">
        <v>0.16</v>
      </c>
      <c r="J548" s="313">
        <v>0.06</v>
      </c>
    </row>
    <row r="549" spans="1:10" ht="17.25" thickBot="1" x14ac:dyDescent="0.35">
      <c r="A549" s="314" t="s">
        <v>846</v>
      </c>
      <c r="B549" s="315">
        <f t="shared" si="24"/>
        <v>0</v>
      </c>
      <c r="C549" s="315" t="str">
        <f t="shared" si="25"/>
        <v>Cundinamarca</v>
      </c>
      <c r="D549" s="315" t="str">
        <f t="shared" si="26"/>
        <v>Bojacá, Cundinamarca</v>
      </c>
      <c r="E549" s="311">
        <v>25099</v>
      </c>
      <c r="F549" s="312">
        <v>0.15</v>
      </c>
      <c r="G549" s="312">
        <v>0.2</v>
      </c>
      <c r="H549" s="312" t="s">
        <v>40</v>
      </c>
      <c r="I549" s="312">
        <v>0.11</v>
      </c>
      <c r="J549" s="313">
        <v>0.06</v>
      </c>
    </row>
    <row r="550" spans="1:10" ht="17.25" thickBot="1" x14ac:dyDescent="0.35">
      <c r="A550" s="314" t="s">
        <v>847</v>
      </c>
      <c r="B550" s="315">
        <f t="shared" si="24"/>
        <v>0</v>
      </c>
      <c r="C550" s="315" t="str">
        <f t="shared" si="25"/>
        <v>Cundinamarca</v>
      </c>
      <c r="D550" s="315" t="str">
        <f t="shared" si="26"/>
        <v>Cabrera, Cundinamarca</v>
      </c>
      <c r="E550" s="311">
        <v>25120</v>
      </c>
      <c r="F550" s="312">
        <v>0.25</v>
      </c>
      <c r="G550" s="312">
        <v>0.25</v>
      </c>
      <c r="H550" s="312" t="s">
        <v>322</v>
      </c>
      <c r="I550" s="312">
        <v>0.12</v>
      </c>
      <c r="J550" s="313">
        <v>0.06</v>
      </c>
    </row>
    <row r="551" spans="1:10" ht="17.25" thickBot="1" x14ac:dyDescent="0.35">
      <c r="A551" s="314" t="s">
        <v>848</v>
      </c>
      <c r="B551" s="315">
        <f t="shared" si="24"/>
        <v>0</v>
      </c>
      <c r="C551" s="315" t="str">
        <f t="shared" si="25"/>
        <v>Cundinamarca</v>
      </c>
      <c r="D551" s="315" t="str">
        <f t="shared" si="26"/>
        <v>Cachipay, Cundinamarca</v>
      </c>
      <c r="E551" s="311">
        <v>25123</v>
      </c>
      <c r="F551" s="312">
        <v>0.15</v>
      </c>
      <c r="G551" s="312">
        <v>0.2</v>
      </c>
      <c r="H551" s="312" t="s">
        <v>40</v>
      </c>
      <c r="I551" s="312">
        <v>0.15</v>
      </c>
      <c r="J551" s="313">
        <v>0.06</v>
      </c>
    </row>
    <row r="552" spans="1:10" ht="17.25" thickBot="1" x14ac:dyDescent="0.35">
      <c r="A552" s="314" t="s">
        <v>849</v>
      </c>
      <c r="B552" s="315">
        <f t="shared" si="24"/>
        <v>0</v>
      </c>
      <c r="C552" s="315" t="str">
        <f t="shared" si="25"/>
        <v>Cundinamarca</v>
      </c>
      <c r="D552" s="315" t="str">
        <f t="shared" si="26"/>
        <v>Cajicá, Cundinamarca</v>
      </c>
      <c r="E552" s="311">
        <v>25126</v>
      </c>
      <c r="F552" s="312">
        <v>0.15</v>
      </c>
      <c r="G552" s="312">
        <v>0.2</v>
      </c>
      <c r="H552" s="312" t="s">
        <v>40</v>
      </c>
      <c r="I552" s="312">
        <v>0.09</v>
      </c>
      <c r="J552" s="313">
        <v>0.05</v>
      </c>
    </row>
    <row r="553" spans="1:10" ht="17.25" thickBot="1" x14ac:dyDescent="0.35">
      <c r="A553" s="314" t="s">
        <v>850</v>
      </c>
      <c r="B553" s="315">
        <f t="shared" si="24"/>
        <v>0</v>
      </c>
      <c r="C553" s="315" t="str">
        <f t="shared" si="25"/>
        <v>Cundinamarca</v>
      </c>
      <c r="D553" s="315" t="str">
        <f t="shared" si="26"/>
        <v>Caparrapí, Cundinamarca</v>
      </c>
      <c r="E553" s="311">
        <v>25148</v>
      </c>
      <c r="F553" s="312">
        <v>0.15</v>
      </c>
      <c r="G553" s="312">
        <v>0.2</v>
      </c>
      <c r="H553" s="312" t="s">
        <v>40</v>
      </c>
      <c r="I553" s="312">
        <v>0.15</v>
      </c>
      <c r="J553" s="313">
        <v>0.06</v>
      </c>
    </row>
    <row r="554" spans="1:10" ht="17.25" thickBot="1" x14ac:dyDescent="0.35">
      <c r="A554" s="314" t="s">
        <v>851</v>
      </c>
      <c r="B554" s="315">
        <f t="shared" si="24"/>
        <v>0</v>
      </c>
      <c r="C554" s="315" t="str">
        <f t="shared" si="25"/>
        <v>Cundinamarca</v>
      </c>
      <c r="D554" s="315" t="str">
        <f t="shared" si="26"/>
        <v>Cáqueza, Cundinamarca</v>
      </c>
      <c r="E554" s="311">
        <v>25151</v>
      </c>
      <c r="F554" s="312">
        <v>0.25</v>
      </c>
      <c r="G554" s="312">
        <v>0.25</v>
      </c>
      <c r="H554" s="312" t="s">
        <v>322</v>
      </c>
      <c r="I554" s="312">
        <v>0.15</v>
      </c>
      <c r="J554" s="313">
        <v>0.06</v>
      </c>
    </row>
    <row r="555" spans="1:10" ht="17.25" thickBot="1" x14ac:dyDescent="0.35">
      <c r="A555" s="314" t="s">
        <v>852</v>
      </c>
      <c r="B555" s="315">
        <f t="shared" si="24"/>
        <v>0</v>
      </c>
      <c r="C555" s="315" t="str">
        <f t="shared" si="25"/>
        <v>Cundinamarca</v>
      </c>
      <c r="D555" s="315" t="str">
        <f t="shared" si="26"/>
        <v>Carmen De Carupa, Cundinamarca</v>
      </c>
      <c r="E555" s="311">
        <v>25154</v>
      </c>
      <c r="F555" s="312">
        <v>0.15</v>
      </c>
      <c r="G555" s="312">
        <v>0.15</v>
      </c>
      <c r="H555" s="312" t="s">
        <v>40</v>
      </c>
      <c r="I555" s="312">
        <v>0.09</v>
      </c>
      <c r="J555" s="313">
        <v>0.05</v>
      </c>
    </row>
    <row r="556" spans="1:10" ht="17.25" thickBot="1" x14ac:dyDescent="0.35">
      <c r="A556" s="314" t="s">
        <v>853</v>
      </c>
      <c r="B556" s="315">
        <f t="shared" si="24"/>
        <v>0</v>
      </c>
      <c r="C556" s="315" t="str">
        <f t="shared" si="25"/>
        <v>Cundinamarca</v>
      </c>
      <c r="D556" s="315" t="str">
        <f t="shared" si="26"/>
        <v>Chaguaní, Cundinamarca</v>
      </c>
      <c r="E556" s="311">
        <v>25168</v>
      </c>
      <c r="F556" s="312">
        <v>0.15</v>
      </c>
      <c r="G556" s="312">
        <v>0.2</v>
      </c>
      <c r="H556" s="312" t="s">
        <v>40</v>
      </c>
      <c r="I556" s="312">
        <v>0.16</v>
      </c>
      <c r="J556" s="313">
        <v>0.06</v>
      </c>
    </row>
    <row r="557" spans="1:10" ht="17.25" thickBot="1" x14ac:dyDescent="0.35">
      <c r="A557" s="314" t="s">
        <v>854</v>
      </c>
      <c r="B557" s="315">
        <f t="shared" si="24"/>
        <v>0</v>
      </c>
      <c r="C557" s="315" t="str">
        <f t="shared" si="25"/>
        <v>Cundinamarca</v>
      </c>
      <c r="D557" s="315" t="str">
        <f t="shared" si="26"/>
        <v>Chía, Cundinamarca</v>
      </c>
      <c r="E557" s="311">
        <v>25175</v>
      </c>
      <c r="F557" s="312">
        <v>0.15</v>
      </c>
      <c r="G557" s="312">
        <v>0.2</v>
      </c>
      <c r="H557" s="312" t="s">
        <v>40</v>
      </c>
      <c r="I557" s="312">
        <v>0.09</v>
      </c>
      <c r="J557" s="313">
        <v>0.05</v>
      </c>
    </row>
    <row r="558" spans="1:10" ht="17.25" thickBot="1" x14ac:dyDescent="0.35">
      <c r="A558" s="314" t="s">
        <v>855</v>
      </c>
      <c r="B558" s="315">
        <f t="shared" si="24"/>
        <v>0</v>
      </c>
      <c r="C558" s="315" t="str">
        <f t="shared" si="25"/>
        <v>Cundinamarca</v>
      </c>
      <c r="D558" s="315" t="str">
        <f t="shared" si="26"/>
        <v>Chipaque, Cundinamarca</v>
      </c>
      <c r="E558" s="311">
        <v>25178</v>
      </c>
      <c r="F558" s="312">
        <v>0.2</v>
      </c>
      <c r="G558" s="312">
        <v>0.25</v>
      </c>
      <c r="H558" s="312" t="s">
        <v>322</v>
      </c>
      <c r="I558" s="312">
        <v>0.11</v>
      </c>
      <c r="J558" s="313">
        <v>0.05</v>
      </c>
    </row>
    <row r="559" spans="1:10" ht="17.25" thickBot="1" x14ac:dyDescent="0.35">
      <c r="A559" s="314" t="s">
        <v>856</v>
      </c>
      <c r="B559" s="315">
        <f t="shared" si="24"/>
        <v>0</v>
      </c>
      <c r="C559" s="315" t="str">
        <f t="shared" si="25"/>
        <v>Cundinamarca</v>
      </c>
      <c r="D559" s="315" t="str">
        <f t="shared" si="26"/>
        <v>Choachí, Cundinamarca</v>
      </c>
      <c r="E559" s="311">
        <v>25181</v>
      </c>
      <c r="F559" s="312">
        <v>0.2</v>
      </c>
      <c r="G559" s="312">
        <v>0.25</v>
      </c>
      <c r="H559" s="312" t="s">
        <v>322</v>
      </c>
      <c r="I559" s="312">
        <v>0.12</v>
      </c>
      <c r="J559" s="313">
        <v>0.06</v>
      </c>
    </row>
    <row r="560" spans="1:10" ht="17.25" thickBot="1" x14ac:dyDescent="0.35">
      <c r="A560" s="314" t="s">
        <v>857</v>
      </c>
      <c r="B560" s="315">
        <f t="shared" si="24"/>
        <v>0</v>
      </c>
      <c r="C560" s="315" t="str">
        <f t="shared" si="25"/>
        <v>Cundinamarca</v>
      </c>
      <c r="D560" s="315" t="str">
        <f t="shared" si="26"/>
        <v>Chocontá, Cundinamarca</v>
      </c>
      <c r="E560" s="311">
        <v>25183</v>
      </c>
      <c r="F560" s="312">
        <v>0.15</v>
      </c>
      <c r="G560" s="312">
        <v>0.2</v>
      </c>
      <c r="H560" s="312" t="s">
        <v>40</v>
      </c>
      <c r="I560" s="312">
        <v>0.1</v>
      </c>
      <c r="J560" s="313">
        <v>0.05</v>
      </c>
    </row>
    <row r="561" spans="1:10" ht="17.25" thickBot="1" x14ac:dyDescent="0.35">
      <c r="A561" s="314" t="s">
        <v>858</v>
      </c>
      <c r="B561" s="315">
        <f t="shared" si="24"/>
        <v>0</v>
      </c>
      <c r="C561" s="315" t="str">
        <f t="shared" si="25"/>
        <v>Cundinamarca</v>
      </c>
      <c r="D561" s="315" t="str">
        <f t="shared" si="26"/>
        <v>Cogua, Cundinamarca</v>
      </c>
      <c r="E561" s="311">
        <v>25200</v>
      </c>
      <c r="F561" s="312">
        <v>0.15</v>
      </c>
      <c r="G561" s="312">
        <v>0.2</v>
      </c>
      <c r="H561" s="312" t="s">
        <v>40</v>
      </c>
      <c r="I561" s="312">
        <v>0.09</v>
      </c>
      <c r="J561" s="313">
        <v>0.05</v>
      </c>
    </row>
    <row r="562" spans="1:10" ht="17.25" thickBot="1" x14ac:dyDescent="0.35">
      <c r="A562" s="314" t="s">
        <v>859</v>
      </c>
      <c r="B562" s="315">
        <f t="shared" si="24"/>
        <v>0</v>
      </c>
      <c r="C562" s="315" t="str">
        <f t="shared" si="25"/>
        <v>Cundinamarca</v>
      </c>
      <c r="D562" s="315" t="str">
        <f t="shared" si="26"/>
        <v>Cota, Cundinamarca</v>
      </c>
      <c r="E562" s="311">
        <v>25214</v>
      </c>
      <c r="F562" s="312">
        <v>0.15</v>
      </c>
      <c r="G562" s="312">
        <v>0.2</v>
      </c>
      <c r="H562" s="312" t="s">
        <v>40</v>
      </c>
      <c r="I562" s="312">
        <v>0.09</v>
      </c>
      <c r="J562" s="313">
        <v>0.05</v>
      </c>
    </row>
    <row r="563" spans="1:10" ht="17.25" thickBot="1" x14ac:dyDescent="0.35">
      <c r="A563" s="314" t="s">
        <v>860</v>
      </c>
      <c r="B563" s="315">
        <f t="shared" si="24"/>
        <v>0</v>
      </c>
      <c r="C563" s="315" t="str">
        <f t="shared" si="25"/>
        <v>Cundinamarca</v>
      </c>
      <c r="D563" s="315" t="str">
        <f t="shared" si="26"/>
        <v>Cucunubá, Cundinamarca</v>
      </c>
      <c r="E563" s="311">
        <v>25224</v>
      </c>
      <c r="F563" s="312">
        <v>0.15</v>
      </c>
      <c r="G563" s="312">
        <v>0.2</v>
      </c>
      <c r="H563" s="312" t="s">
        <v>40</v>
      </c>
      <c r="I563" s="312">
        <v>0.09</v>
      </c>
      <c r="J563" s="313">
        <v>0.05</v>
      </c>
    </row>
    <row r="564" spans="1:10" ht="17.25" thickBot="1" x14ac:dyDescent="0.35">
      <c r="A564" s="314" t="s">
        <v>861</v>
      </c>
      <c r="B564" s="315">
        <f t="shared" si="24"/>
        <v>0</v>
      </c>
      <c r="C564" s="315" t="str">
        <f t="shared" si="25"/>
        <v>Cundinamarca</v>
      </c>
      <c r="D564" s="315" t="str">
        <f t="shared" si="26"/>
        <v>El Colegio, Cundinamarca</v>
      </c>
      <c r="E564" s="311">
        <v>25245</v>
      </c>
      <c r="F564" s="312">
        <v>0.15</v>
      </c>
      <c r="G564" s="312">
        <v>0.2</v>
      </c>
      <c r="H564" s="312" t="s">
        <v>40</v>
      </c>
      <c r="I564" s="312">
        <v>0.11</v>
      </c>
      <c r="J564" s="313">
        <v>0.06</v>
      </c>
    </row>
    <row r="565" spans="1:10" ht="17.25" thickBot="1" x14ac:dyDescent="0.35">
      <c r="A565" s="314" t="s">
        <v>507</v>
      </c>
      <c r="B565" s="315">
        <f t="shared" si="24"/>
        <v>0</v>
      </c>
      <c r="C565" s="315" t="str">
        <f t="shared" si="25"/>
        <v>Cundinamarca</v>
      </c>
      <c r="D565" s="315" t="str">
        <f t="shared" si="26"/>
        <v>El Peñón, Cundinamarca</v>
      </c>
      <c r="E565" s="311">
        <v>25258</v>
      </c>
      <c r="F565" s="312">
        <v>0.15</v>
      </c>
      <c r="G565" s="312">
        <v>0.2</v>
      </c>
      <c r="H565" s="312" t="s">
        <v>40</v>
      </c>
      <c r="I565" s="312">
        <v>0.13</v>
      </c>
      <c r="J565" s="313">
        <v>0.06</v>
      </c>
    </row>
    <row r="566" spans="1:10" ht="17.25" thickBot="1" x14ac:dyDescent="0.35">
      <c r="A566" s="314" t="s">
        <v>862</v>
      </c>
      <c r="B566" s="315">
        <f t="shared" si="24"/>
        <v>0</v>
      </c>
      <c r="C566" s="315" t="str">
        <f t="shared" si="25"/>
        <v>Cundinamarca</v>
      </c>
      <c r="D566" s="315" t="str">
        <f t="shared" si="26"/>
        <v>El Rosal, Cundinamarca</v>
      </c>
      <c r="E566" s="311">
        <v>25260</v>
      </c>
      <c r="F566" s="312">
        <v>0.15</v>
      </c>
      <c r="G566" s="312">
        <v>0.2</v>
      </c>
      <c r="H566" s="312" t="s">
        <v>40</v>
      </c>
      <c r="I566" s="312">
        <v>0.1</v>
      </c>
      <c r="J566" s="313">
        <v>0.06</v>
      </c>
    </row>
    <row r="567" spans="1:10" ht="17.25" thickBot="1" x14ac:dyDescent="0.35">
      <c r="A567" s="314" t="s">
        <v>863</v>
      </c>
      <c r="B567" s="315">
        <f t="shared" si="24"/>
        <v>0</v>
      </c>
      <c r="C567" s="315" t="str">
        <f t="shared" si="25"/>
        <v>Cundinamarca</v>
      </c>
      <c r="D567" s="315" t="str">
        <f t="shared" si="26"/>
        <v>Facatativá, Cundinamarca</v>
      </c>
      <c r="E567" s="311">
        <v>25269</v>
      </c>
      <c r="F567" s="312">
        <v>0.15</v>
      </c>
      <c r="G567" s="312">
        <v>0.2</v>
      </c>
      <c r="H567" s="312" t="s">
        <v>40</v>
      </c>
      <c r="I567" s="312">
        <v>0.12</v>
      </c>
      <c r="J567" s="313">
        <v>0.06</v>
      </c>
    </row>
    <row r="568" spans="1:10" ht="17.25" thickBot="1" x14ac:dyDescent="0.35">
      <c r="A568" s="314" t="s">
        <v>864</v>
      </c>
      <c r="B568" s="315">
        <f t="shared" si="24"/>
        <v>0</v>
      </c>
      <c r="C568" s="315" t="str">
        <f t="shared" si="25"/>
        <v>Cundinamarca</v>
      </c>
      <c r="D568" s="315" t="str">
        <f t="shared" si="26"/>
        <v>Fómeque, Cundinamarca</v>
      </c>
      <c r="E568" s="311">
        <v>25279</v>
      </c>
      <c r="F568" s="312">
        <v>0.25</v>
      </c>
      <c r="G568" s="312">
        <v>0.25</v>
      </c>
      <c r="H568" s="312" t="s">
        <v>322</v>
      </c>
      <c r="I568" s="312">
        <v>0.16</v>
      </c>
      <c r="J568" s="313">
        <v>0.06</v>
      </c>
    </row>
    <row r="569" spans="1:10" ht="17.25" thickBot="1" x14ac:dyDescent="0.35">
      <c r="A569" s="314" t="s">
        <v>865</v>
      </c>
      <c r="B569" s="315">
        <f t="shared" si="24"/>
        <v>0</v>
      </c>
      <c r="C569" s="315" t="str">
        <f t="shared" si="25"/>
        <v>Cundinamarca</v>
      </c>
      <c r="D569" s="315" t="str">
        <f t="shared" si="26"/>
        <v>Fosca, Cundinamarca</v>
      </c>
      <c r="E569" s="311">
        <v>25281</v>
      </c>
      <c r="F569" s="312">
        <v>0.25</v>
      </c>
      <c r="G569" s="312">
        <v>0.25</v>
      </c>
      <c r="H569" s="312" t="s">
        <v>322</v>
      </c>
      <c r="I569" s="312">
        <v>0.16</v>
      </c>
      <c r="J569" s="313">
        <v>0.06</v>
      </c>
    </row>
    <row r="570" spans="1:10" ht="17.25" thickBot="1" x14ac:dyDescent="0.35">
      <c r="A570" s="314" t="s">
        <v>866</v>
      </c>
      <c r="B570" s="315">
        <f t="shared" si="24"/>
        <v>0</v>
      </c>
      <c r="C570" s="315" t="str">
        <f t="shared" si="25"/>
        <v>Cundinamarca</v>
      </c>
      <c r="D570" s="315" t="str">
        <f t="shared" si="26"/>
        <v>Funza, Cundinamarca</v>
      </c>
      <c r="E570" s="311">
        <v>25286</v>
      </c>
      <c r="F570" s="312">
        <v>0.15</v>
      </c>
      <c r="G570" s="312">
        <v>0.2</v>
      </c>
      <c r="H570" s="312" t="s">
        <v>40</v>
      </c>
      <c r="I570" s="312">
        <v>0.1</v>
      </c>
      <c r="J570" s="313">
        <v>0.06</v>
      </c>
    </row>
    <row r="571" spans="1:10" ht="17.25" thickBot="1" x14ac:dyDescent="0.35">
      <c r="A571" s="314" t="s">
        <v>867</v>
      </c>
      <c r="B571" s="315">
        <f t="shared" si="24"/>
        <v>0</v>
      </c>
      <c r="C571" s="315" t="str">
        <f t="shared" si="25"/>
        <v>Cundinamarca</v>
      </c>
      <c r="D571" s="315" t="str">
        <f t="shared" si="26"/>
        <v>Fúquene, Cundinamarca</v>
      </c>
      <c r="E571" s="311">
        <v>25288</v>
      </c>
      <c r="F571" s="312">
        <v>0.15</v>
      </c>
      <c r="G571" s="312">
        <v>0.2</v>
      </c>
      <c r="H571" s="312" t="s">
        <v>40</v>
      </c>
      <c r="I571" s="312">
        <v>0.08</v>
      </c>
      <c r="J571" s="313">
        <v>0.05</v>
      </c>
    </row>
    <row r="572" spans="1:10" ht="17.25" thickBot="1" x14ac:dyDescent="0.35">
      <c r="A572" s="314" t="s">
        <v>868</v>
      </c>
      <c r="B572" s="315">
        <f t="shared" si="24"/>
        <v>0</v>
      </c>
      <c r="C572" s="315" t="str">
        <f t="shared" si="25"/>
        <v>Cundinamarca</v>
      </c>
      <c r="D572" s="315" t="str">
        <f t="shared" si="26"/>
        <v>Fusagasugá, Cundinamarca</v>
      </c>
      <c r="E572" s="311">
        <v>25290</v>
      </c>
      <c r="F572" s="312">
        <v>0.2</v>
      </c>
      <c r="G572" s="312">
        <v>0.2</v>
      </c>
      <c r="H572" s="312" t="s">
        <v>40</v>
      </c>
      <c r="I572" s="312">
        <v>0.09</v>
      </c>
      <c r="J572" s="313">
        <v>0.05</v>
      </c>
    </row>
    <row r="573" spans="1:10" ht="17.25" thickBot="1" x14ac:dyDescent="0.35">
      <c r="A573" s="314" t="s">
        <v>869</v>
      </c>
      <c r="B573" s="315">
        <f t="shared" si="24"/>
        <v>0</v>
      </c>
      <c r="C573" s="315" t="str">
        <f t="shared" si="25"/>
        <v>Cundinamarca</v>
      </c>
      <c r="D573" s="315" t="str">
        <f t="shared" si="26"/>
        <v>Gachalá, Cundinamarca</v>
      </c>
      <c r="E573" s="311">
        <v>25293</v>
      </c>
      <c r="F573" s="312">
        <v>0.3</v>
      </c>
      <c r="G573" s="312">
        <v>0.25</v>
      </c>
      <c r="H573" s="312" t="s">
        <v>322</v>
      </c>
      <c r="I573" s="312">
        <v>0.26</v>
      </c>
      <c r="J573" s="313">
        <v>0.06</v>
      </c>
    </row>
    <row r="574" spans="1:10" ht="17.25" thickBot="1" x14ac:dyDescent="0.35">
      <c r="A574" s="314" t="s">
        <v>870</v>
      </c>
      <c r="B574" s="315">
        <f t="shared" si="24"/>
        <v>0</v>
      </c>
      <c r="C574" s="315" t="str">
        <f t="shared" si="25"/>
        <v>Cundinamarca</v>
      </c>
      <c r="D574" s="315" t="str">
        <f t="shared" si="26"/>
        <v>Gachancipá, Cundinamarca</v>
      </c>
      <c r="E574" s="311">
        <v>25295</v>
      </c>
      <c r="F574" s="312">
        <v>0.15</v>
      </c>
      <c r="G574" s="312">
        <v>0.2</v>
      </c>
      <c r="H574" s="312" t="s">
        <v>40</v>
      </c>
      <c r="I574" s="312">
        <v>0.09</v>
      </c>
      <c r="J574" s="313">
        <v>0.05</v>
      </c>
    </row>
    <row r="575" spans="1:10" ht="17.25" thickBot="1" x14ac:dyDescent="0.35">
      <c r="A575" s="314" t="s">
        <v>871</v>
      </c>
      <c r="B575" s="315">
        <f t="shared" si="24"/>
        <v>0</v>
      </c>
      <c r="C575" s="315" t="str">
        <f t="shared" si="25"/>
        <v>Cundinamarca</v>
      </c>
      <c r="D575" s="315" t="str">
        <f t="shared" si="26"/>
        <v>Gachetá, Cundinamarca</v>
      </c>
      <c r="E575" s="311">
        <v>25297</v>
      </c>
      <c r="F575" s="312">
        <v>0.2</v>
      </c>
      <c r="G575" s="312">
        <v>0.25</v>
      </c>
      <c r="H575" s="312" t="s">
        <v>322</v>
      </c>
      <c r="I575" s="312">
        <v>0.15</v>
      </c>
      <c r="J575" s="313">
        <v>0.06</v>
      </c>
    </row>
    <row r="576" spans="1:10" ht="17.25" thickBot="1" x14ac:dyDescent="0.35">
      <c r="A576" s="314" t="s">
        <v>872</v>
      </c>
      <c r="B576" s="315">
        <f t="shared" si="24"/>
        <v>0</v>
      </c>
      <c r="C576" s="315" t="str">
        <f t="shared" si="25"/>
        <v>Cundinamarca</v>
      </c>
      <c r="D576" s="315" t="str">
        <f t="shared" si="26"/>
        <v>Gama, Cundinamarca</v>
      </c>
      <c r="E576" s="311">
        <v>25299</v>
      </c>
      <c r="F576" s="312">
        <v>0.25</v>
      </c>
      <c r="G576" s="312">
        <v>0.25</v>
      </c>
      <c r="H576" s="312" t="s">
        <v>322</v>
      </c>
      <c r="I576" s="312">
        <v>0.16</v>
      </c>
      <c r="J576" s="313">
        <v>0.06</v>
      </c>
    </row>
    <row r="577" spans="1:10" ht="17.25" thickBot="1" x14ac:dyDescent="0.35">
      <c r="A577" s="314" t="s">
        <v>873</v>
      </c>
      <c r="B577" s="315">
        <f t="shared" si="24"/>
        <v>0</v>
      </c>
      <c r="C577" s="315" t="str">
        <f t="shared" si="25"/>
        <v>Cundinamarca</v>
      </c>
      <c r="D577" s="315" t="str">
        <f t="shared" si="26"/>
        <v>Girardot, Cundinamarca</v>
      </c>
      <c r="E577" s="311">
        <v>25307</v>
      </c>
      <c r="F577" s="312">
        <v>0.2</v>
      </c>
      <c r="G577" s="312">
        <v>0.2</v>
      </c>
      <c r="H577" s="312" t="s">
        <v>40</v>
      </c>
      <c r="I577" s="312">
        <v>0.12</v>
      </c>
      <c r="J577" s="313">
        <v>0.06</v>
      </c>
    </row>
    <row r="578" spans="1:10" ht="17.25" thickBot="1" x14ac:dyDescent="0.35">
      <c r="A578" s="314" t="s">
        <v>388</v>
      </c>
      <c r="B578" s="315">
        <f t="shared" si="24"/>
        <v>0</v>
      </c>
      <c r="C578" s="315" t="str">
        <f t="shared" si="25"/>
        <v>Cundinamarca</v>
      </c>
      <c r="D578" s="315" t="str">
        <f t="shared" si="26"/>
        <v>Granada, Cundinamarca</v>
      </c>
      <c r="E578" s="311">
        <v>25312</v>
      </c>
      <c r="F578" s="312">
        <v>0.15</v>
      </c>
      <c r="G578" s="312">
        <v>0.2</v>
      </c>
      <c r="H578" s="312" t="s">
        <v>40</v>
      </c>
      <c r="I578" s="312">
        <v>0.1</v>
      </c>
      <c r="J578" s="313">
        <v>0.05</v>
      </c>
    </row>
    <row r="579" spans="1:10" ht="17.25" thickBot="1" x14ac:dyDescent="0.35">
      <c r="A579" s="314" t="s">
        <v>874</v>
      </c>
      <c r="B579" s="315">
        <f t="shared" ref="B579:B642" si="27">IFERROR(FIND("Departamento",A579),0)</f>
        <v>0</v>
      </c>
      <c r="C579" s="315" t="str">
        <f t="shared" ref="C579:C642" si="28">IF(B579=1,IF(ISERROR(FIND("del",A579)),MID(A579,17,30),MID(A579,18,30)),C578)</f>
        <v>Cundinamarca</v>
      </c>
      <c r="D579" s="315" t="str">
        <f t="shared" ref="D579:D642" si="29">IF(B579=1,"",CONCATENATE(A579,", ",C579))</f>
        <v>Guachetá, Cundinamarca</v>
      </c>
      <c r="E579" s="311">
        <v>25317</v>
      </c>
      <c r="F579" s="312">
        <v>0.15</v>
      </c>
      <c r="G579" s="312">
        <v>0.2</v>
      </c>
      <c r="H579" s="312" t="s">
        <v>40</v>
      </c>
      <c r="I579" s="312">
        <v>0.08</v>
      </c>
      <c r="J579" s="313">
        <v>0.05</v>
      </c>
    </row>
    <row r="580" spans="1:10" ht="17.25" thickBot="1" x14ac:dyDescent="0.35">
      <c r="A580" s="314" t="s">
        <v>875</v>
      </c>
      <c r="B580" s="315">
        <f t="shared" si="27"/>
        <v>0</v>
      </c>
      <c r="C580" s="315" t="str">
        <f t="shared" si="28"/>
        <v>Cundinamarca</v>
      </c>
      <c r="D580" s="315" t="str">
        <f t="shared" si="29"/>
        <v>Guaduas, Cundinamarca</v>
      </c>
      <c r="E580" s="311">
        <v>25320</v>
      </c>
      <c r="F580" s="312">
        <v>0.15</v>
      </c>
      <c r="G580" s="312">
        <v>0.2</v>
      </c>
      <c r="H580" s="312" t="s">
        <v>40</v>
      </c>
      <c r="I580" s="312">
        <v>0.15</v>
      </c>
      <c r="J580" s="313">
        <v>0.06</v>
      </c>
    </row>
    <row r="581" spans="1:10" ht="17.25" thickBot="1" x14ac:dyDescent="0.35">
      <c r="A581" s="314" t="s">
        <v>876</v>
      </c>
      <c r="B581" s="315">
        <f t="shared" si="27"/>
        <v>0</v>
      </c>
      <c r="C581" s="315" t="str">
        <f t="shared" si="28"/>
        <v>Cundinamarca</v>
      </c>
      <c r="D581" s="315" t="str">
        <f t="shared" si="29"/>
        <v>Guasca, Cundinamarca</v>
      </c>
      <c r="E581" s="311">
        <v>25322</v>
      </c>
      <c r="F581" s="312">
        <v>0.15</v>
      </c>
      <c r="G581" s="312">
        <v>0.25</v>
      </c>
      <c r="H581" s="312" t="s">
        <v>322</v>
      </c>
      <c r="I581" s="312">
        <v>0.11</v>
      </c>
      <c r="J581" s="313">
        <v>0.05</v>
      </c>
    </row>
    <row r="582" spans="1:10" ht="17.25" thickBot="1" x14ac:dyDescent="0.35">
      <c r="A582" s="314" t="s">
        <v>877</v>
      </c>
      <c r="B582" s="315">
        <f t="shared" si="27"/>
        <v>0</v>
      </c>
      <c r="C582" s="315" t="str">
        <f t="shared" si="28"/>
        <v>Cundinamarca</v>
      </c>
      <c r="D582" s="315" t="str">
        <f t="shared" si="29"/>
        <v>Guataquí, Cundinamarca</v>
      </c>
      <c r="E582" s="311">
        <v>25324</v>
      </c>
      <c r="F582" s="312">
        <v>0.2</v>
      </c>
      <c r="G582" s="312">
        <v>0.2</v>
      </c>
      <c r="H582" s="312" t="s">
        <v>40</v>
      </c>
      <c r="I582" s="312">
        <v>0.16</v>
      </c>
      <c r="J582" s="313">
        <v>0.06</v>
      </c>
    </row>
    <row r="583" spans="1:10" ht="17.25" thickBot="1" x14ac:dyDescent="0.35">
      <c r="A583" s="314" t="s">
        <v>878</v>
      </c>
      <c r="B583" s="315">
        <f t="shared" si="27"/>
        <v>0</v>
      </c>
      <c r="C583" s="315" t="str">
        <f t="shared" si="28"/>
        <v>Cundinamarca</v>
      </c>
      <c r="D583" s="315" t="str">
        <f t="shared" si="29"/>
        <v>Guatavita, Cundinamarca</v>
      </c>
      <c r="E583" s="311">
        <v>25326</v>
      </c>
      <c r="F583" s="312">
        <v>0.15</v>
      </c>
      <c r="G583" s="312">
        <v>0.2</v>
      </c>
      <c r="H583" s="312" t="s">
        <v>40</v>
      </c>
      <c r="I583" s="312">
        <v>0.11</v>
      </c>
      <c r="J583" s="313">
        <v>0.05</v>
      </c>
    </row>
    <row r="584" spans="1:10" ht="17.25" thickBot="1" x14ac:dyDescent="0.35">
      <c r="A584" s="314" t="s">
        <v>879</v>
      </c>
      <c r="B584" s="315">
        <f t="shared" si="27"/>
        <v>0</v>
      </c>
      <c r="C584" s="315" t="str">
        <f t="shared" si="28"/>
        <v>Cundinamarca</v>
      </c>
      <c r="D584" s="315" t="str">
        <f t="shared" si="29"/>
        <v>Guayabal De Síquima, Cundinamarca</v>
      </c>
      <c r="E584" s="311">
        <v>25328</v>
      </c>
      <c r="F584" s="312">
        <v>0.15</v>
      </c>
      <c r="G584" s="312">
        <v>0.2</v>
      </c>
      <c r="H584" s="312" t="s">
        <v>40</v>
      </c>
      <c r="I584" s="312">
        <v>0.16</v>
      </c>
      <c r="J584" s="313">
        <v>0.06</v>
      </c>
    </row>
    <row r="585" spans="1:10" ht="17.25" thickBot="1" x14ac:dyDescent="0.35">
      <c r="A585" s="314" t="s">
        <v>880</v>
      </c>
      <c r="B585" s="315">
        <f t="shared" si="27"/>
        <v>0</v>
      </c>
      <c r="C585" s="315" t="str">
        <f t="shared" si="28"/>
        <v>Cundinamarca</v>
      </c>
      <c r="D585" s="315" t="str">
        <f t="shared" si="29"/>
        <v>Guayabetal, Cundinamarca</v>
      </c>
      <c r="E585" s="311">
        <v>25335</v>
      </c>
      <c r="F585" s="312">
        <v>0.3</v>
      </c>
      <c r="G585" s="312">
        <v>0.25</v>
      </c>
      <c r="H585" s="312" t="s">
        <v>322</v>
      </c>
      <c r="I585" s="312">
        <v>0.16</v>
      </c>
      <c r="J585" s="313">
        <v>0.06</v>
      </c>
    </row>
    <row r="586" spans="1:10" ht="17.25" thickBot="1" x14ac:dyDescent="0.35">
      <c r="A586" s="314" t="s">
        <v>881</v>
      </c>
      <c r="B586" s="315">
        <f t="shared" si="27"/>
        <v>0</v>
      </c>
      <c r="C586" s="315" t="str">
        <f t="shared" si="28"/>
        <v>Cundinamarca</v>
      </c>
      <c r="D586" s="315" t="str">
        <f t="shared" si="29"/>
        <v>Gutiérrez, Cundinamarca</v>
      </c>
      <c r="E586" s="311">
        <v>25339</v>
      </c>
      <c r="F586" s="312">
        <v>0.25</v>
      </c>
      <c r="G586" s="312">
        <v>0.25</v>
      </c>
      <c r="H586" s="312" t="s">
        <v>322</v>
      </c>
      <c r="I586" s="312">
        <v>0.16</v>
      </c>
      <c r="J586" s="313">
        <v>0.06</v>
      </c>
    </row>
    <row r="587" spans="1:10" ht="17.25" thickBot="1" x14ac:dyDescent="0.35">
      <c r="A587" s="314" t="s">
        <v>882</v>
      </c>
      <c r="B587" s="315">
        <f t="shared" si="27"/>
        <v>0</v>
      </c>
      <c r="C587" s="315" t="str">
        <f t="shared" si="28"/>
        <v>Cundinamarca</v>
      </c>
      <c r="D587" s="315" t="str">
        <f t="shared" si="29"/>
        <v>Jerusalén, Cundinamarca</v>
      </c>
      <c r="E587" s="311">
        <v>25368</v>
      </c>
      <c r="F587" s="312">
        <v>0.2</v>
      </c>
      <c r="G587" s="312">
        <v>0.2</v>
      </c>
      <c r="H587" s="312" t="s">
        <v>40</v>
      </c>
      <c r="I587" s="312">
        <v>0.16</v>
      </c>
      <c r="J587" s="313">
        <v>0.06</v>
      </c>
    </row>
    <row r="588" spans="1:10" ht="17.25" thickBot="1" x14ac:dyDescent="0.35">
      <c r="A588" s="314" t="s">
        <v>883</v>
      </c>
      <c r="B588" s="315">
        <f t="shared" si="27"/>
        <v>0</v>
      </c>
      <c r="C588" s="315" t="str">
        <f t="shared" si="28"/>
        <v>Cundinamarca</v>
      </c>
      <c r="D588" s="315" t="str">
        <f t="shared" si="29"/>
        <v>Junín, Cundinamarca</v>
      </c>
      <c r="E588" s="311">
        <v>25372</v>
      </c>
      <c r="F588" s="312">
        <v>0.2</v>
      </c>
      <c r="G588" s="312">
        <v>0.25</v>
      </c>
      <c r="H588" s="312" t="s">
        <v>322</v>
      </c>
      <c r="I588" s="312">
        <v>0.16</v>
      </c>
      <c r="J588" s="313">
        <v>0.06</v>
      </c>
    </row>
    <row r="589" spans="1:10" ht="17.25" thickBot="1" x14ac:dyDescent="0.35">
      <c r="A589" s="314" t="s">
        <v>884</v>
      </c>
      <c r="B589" s="315">
        <f t="shared" si="27"/>
        <v>0</v>
      </c>
      <c r="C589" s="315" t="str">
        <f t="shared" si="28"/>
        <v>Cundinamarca</v>
      </c>
      <c r="D589" s="315" t="str">
        <f t="shared" si="29"/>
        <v>La Calera, Cundinamarca</v>
      </c>
      <c r="E589" s="311">
        <v>25377</v>
      </c>
      <c r="F589" s="312">
        <v>0.15</v>
      </c>
      <c r="G589" s="312">
        <v>0.25</v>
      </c>
      <c r="H589" s="312" t="s">
        <v>322</v>
      </c>
      <c r="I589" s="312">
        <v>0.11</v>
      </c>
      <c r="J589" s="313">
        <v>0.05</v>
      </c>
    </row>
    <row r="590" spans="1:10" ht="17.25" thickBot="1" x14ac:dyDescent="0.35">
      <c r="A590" s="314" t="s">
        <v>885</v>
      </c>
      <c r="B590" s="315">
        <f t="shared" si="27"/>
        <v>0</v>
      </c>
      <c r="C590" s="315" t="str">
        <f t="shared" si="28"/>
        <v>Cundinamarca</v>
      </c>
      <c r="D590" s="315" t="str">
        <f t="shared" si="29"/>
        <v>La Mesa, Cundinamarca</v>
      </c>
      <c r="E590" s="311">
        <v>25386</v>
      </c>
      <c r="F590" s="312">
        <v>0.15</v>
      </c>
      <c r="G590" s="312">
        <v>0.2</v>
      </c>
      <c r="H590" s="312" t="s">
        <v>40</v>
      </c>
      <c r="I590" s="312">
        <v>0.14000000000000001</v>
      </c>
      <c r="J590" s="313">
        <v>0.06</v>
      </c>
    </row>
    <row r="591" spans="1:10" ht="17.25" thickBot="1" x14ac:dyDescent="0.35">
      <c r="A591" s="314" t="s">
        <v>886</v>
      </c>
      <c r="B591" s="315">
        <f t="shared" si="27"/>
        <v>0</v>
      </c>
      <c r="C591" s="315" t="str">
        <f t="shared" si="28"/>
        <v>Cundinamarca</v>
      </c>
      <c r="D591" s="315" t="str">
        <f t="shared" si="29"/>
        <v>La Palma, Cundinamarca</v>
      </c>
      <c r="E591" s="311">
        <v>25394</v>
      </c>
      <c r="F591" s="312">
        <v>0.15</v>
      </c>
      <c r="G591" s="312">
        <v>0.2</v>
      </c>
      <c r="H591" s="312" t="s">
        <v>40</v>
      </c>
      <c r="I591" s="312">
        <v>0.16</v>
      </c>
      <c r="J591" s="313">
        <v>0.06</v>
      </c>
    </row>
    <row r="592" spans="1:10" ht="17.25" thickBot="1" x14ac:dyDescent="0.35">
      <c r="A592" s="314" t="s">
        <v>887</v>
      </c>
      <c r="B592" s="315">
        <f t="shared" si="27"/>
        <v>0</v>
      </c>
      <c r="C592" s="315" t="str">
        <f t="shared" si="28"/>
        <v>Cundinamarca</v>
      </c>
      <c r="D592" s="315" t="str">
        <f t="shared" si="29"/>
        <v>La Peña, Cundinamarca</v>
      </c>
      <c r="E592" s="311">
        <v>25398</v>
      </c>
      <c r="F592" s="312">
        <v>0.15</v>
      </c>
      <c r="G592" s="312">
        <v>0.2</v>
      </c>
      <c r="H592" s="312" t="s">
        <v>40</v>
      </c>
      <c r="I592" s="312">
        <v>0.16</v>
      </c>
      <c r="J592" s="313">
        <v>0.06</v>
      </c>
    </row>
    <row r="593" spans="1:10" ht="17.25" thickBot="1" x14ac:dyDescent="0.35">
      <c r="A593" s="314" t="s">
        <v>732</v>
      </c>
      <c r="B593" s="315">
        <f t="shared" si="27"/>
        <v>0</v>
      </c>
      <c r="C593" s="315" t="str">
        <f t="shared" si="28"/>
        <v>Cundinamarca</v>
      </c>
      <c r="D593" s="315" t="str">
        <f t="shared" si="29"/>
        <v>La Vega, Cundinamarca</v>
      </c>
      <c r="E593" s="311">
        <v>25402</v>
      </c>
      <c r="F593" s="312">
        <v>0.15</v>
      </c>
      <c r="G593" s="312">
        <v>0.2</v>
      </c>
      <c r="H593" s="312" t="s">
        <v>40</v>
      </c>
      <c r="I593" s="312">
        <v>0.12</v>
      </c>
      <c r="J593" s="313">
        <v>0.06</v>
      </c>
    </row>
    <row r="594" spans="1:10" ht="17.25" thickBot="1" x14ac:dyDescent="0.35">
      <c r="A594" s="314" t="s">
        <v>888</v>
      </c>
      <c r="B594" s="315">
        <f t="shared" si="27"/>
        <v>0</v>
      </c>
      <c r="C594" s="315" t="str">
        <f t="shared" si="28"/>
        <v>Cundinamarca</v>
      </c>
      <c r="D594" s="315" t="str">
        <f t="shared" si="29"/>
        <v>Lenguazaque, Cundinamarca</v>
      </c>
      <c r="E594" s="311">
        <v>25407</v>
      </c>
      <c r="F594" s="312">
        <v>0.15</v>
      </c>
      <c r="G594" s="312">
        <v>0.2</v>
      </c>
      <c r="H594" s="312" t="s">
        <v>40</v>
      </c>
      <c r="I594" s="312">
        <v>0.09</v>
      </c>
      <c r="J594" s="313">
        <v>0.05</v>
      </c>
    </row>
    <row r="595" spans="1:10" ht="17.25" thickBot="1" x14ac:dyDescent="0.35">
      <c r="A595" s="314" t="s">
        <v>889</v>
      </c>
      <c r="B595" s="315">
        <f t="shared" si="27"/>
        <v>0</v>
      </c>
      <c r="C595" s="315" t="str">
        <f t="shared" si="28"/>
        <v>Cundinamarca</v>
      </c>
      <c r="D595" s="315" t="str">
        <f t="shared" si="29"/>
        <v>Machetá, Cundinamarca</v>
      </c>
      <c r="E595" s="311">
        <v>25426</v>
      </c>
      <c r="F595" s="312">
        <v>0.2</v>
      </c>
      <c r="G595" s="312">
        <v>0.25</v>
      </c>
      <c r="H595" s="312" t="s">
        <v>322</v>
      </c>
      <c r="I595" s="312">
        <v>0.13</v>
      </c>
      <c r="J595" s="313">
        <v>0.06</v>
      </c>
    </row>
    <row r="596" spans="1:10" ht="17.25" thickBot="1" x14ac:dyDescent="0.35">
      <c r="A596" s="314" t="s">
        <v>890</v>
      </c>
      <c r="B596" s="315">
        <f t="shared" si="27"/>
        <v>0</v>
      </c>
      <c r="C596" s="315" t="str">
        <f t="shared" si="28"/>
        <v>Cundinamarca</v>
      </c>
      <c r="D596" s="315" t="str">
        <f t="shared" si="29"/>
        <v>Madrid, Cundinamarca</v>
      </c>
      <c r="E596" s="311">
        <v>25430</v>
      </c>
      <c r="F596" s="312">
        <v>0.15</v>
      </c>
      <c r="G596" s="312">
        <v>0.2</v>
      </c>
      <c r="H596" s="312" t="s">
        <v>40</v>
      </c>
      <c r="I596" s="312">
        <v>0.1</v>
      </c>
      <c r="J596" s="313">
        <v>0.06</v>
      </c>
    </row>
    <row r="597" spans="1:10" ht="17.25" thickBot="1" x14ac:dyDescent="0.35">
      <c r="A597" s="314" t="s">
        <v>891</v>
      </c>
      <c r="B597" s="315">
        <f t="shared" si="27"/>
        <v>0</v>
      </c>
      <c r="C597" s="315" t="str">
        <f t="shared" si="28"/>
        <v>Cundinamarca</v>
      </c>
      <c r="D597" s="315" t="str">
        <f t="shared" si="29"/>
        <v>Manta, Cundinamarca</v>
      </c>
      <c r="E597" s="311">
        <v>25436</v>
      </c>
      <c r="F597" s="312">
        <v>0.2</v>
      </c>
      <c r="G597" s="312">
        <v>0.25</v>
      </c>
      <c r="H597" s="312" t="s">
        <v>322</v>
      </c>
      <c r="I597" s="312">
        <v>0.15</v>
      </c>
      <c r="J597" s="313">
        <v>0.06</v>
      </c>
    </row>
    <row r="598" spans="1:10" ht="17.25" thickBot="1" x14ac:dyDescent="0.35">
      <c r="A598" s="314" t="s">
        <v>892</v>
      </c>
      <c r="B598" s="315">
        <f t="shared" si="27"/>
        <v>0</v>
      </c>
      <c r="C598" s="315" t="str">
        <f t="shared" si="28"/>
        <v>Cundinamarca</v>
      </c>
      <c r="D598" s="315" t="str">
        <f t="shared" si="29"/>
        <v>Medina, Cundinamarca</v>
      </c>
      <c r="E598" s="311">
        <v>25438</v>
      </c>
      <c r="F598" s="312">
        <v>0.35</v>
      </c>
      <c r="G598" s="312">
        <v>0.25</v>
      </c>
      <c r="H598" s="312" t="s">
        <v>322</v>
      </c>
      <c r="I598" s="312">
        <v>0.16</v>
      </c>
      <c r="J598" s="313">
        <v>0.06</v>
      </c>
    </row>
    <row r="599" spans="1:10" ht="17.25" thickBot="1" x14ac:dyDescent="0.35">
      <c r="A599" s="314" t="s">
        <v>893</v>
      </c>
      <c r="B599" s="315">
        <f t="shared" si="27"/>
        <v>0</v>
      </c>
      <c r="C599" s="315" t="str">
        <f t="shared" si="28"/>
        <v>Cundinamarca</v>
      </c>
      <c r="D599" s="315" t="str">
        <f t="shared" si="29"/>
        <v>Mosquera, Cundinamarca</v>
      </c>
      <c r="E599" s="311">
        <v>25473</v>
      </c>
      <c r="F599" s="312">
        <v>0.15</v>
      </c>
      <c r="G599" s="312">
        <v>0.2</v>
      </c>
      <c r="H599" s="312" t="s">
        <v>40</v>
      </c>
      <c r="I599" s="312">
        <v>0.1</v>
      </c>
      <c r="J599" s="313">
        <v>0.06</v>
      </c>
    </row>
    <row r="600" spans="1:10" ht="17.25" thickBot="1" x14ac:dyDescent="0.35">
      <c r="A600" s="314" t="s">
        <v>327</v>
      </c>
      <c r="B600" s="315">
        <f t="shared" si="27"/>
        <v>0</v>
      </c>
      <c r="C600" s="315" t="str">
        <f t="shared" si="28"/>
        <v>Cundinamarca</v>
      </c>
      <c r="D600" s="315" t="str">
        <f t="shared" si="29"/>
        <v>Nariño, Cundinamarca</v>
      </c>
      <c r="E600" s="311">
        <v>25483</v>
      </c>
      <c r="F600" s="312">
        <v>0.2</v>
      </c>
      <c r="G600" s="312">
        <v>0.2</v>
      </c>
      <c r="H600" s="312" t="s">
        <v>40</v>
      </c>
      <c r="I600" s="312">
        <v>0.13</v>
      </c>
      <c r="J600" s="313">
        <v>0.06</v>
      </c>
    </row>
    <row r="601" spans="1:10" ht="17.25" thickBot="1" x14ac:dyDescent="0.35">
      <c r="A601" s="314" t="s">
        <v>894</v>
      </c>
      <c r="B601" s="315">
        <f t="shared" si="27"/>
        <v>0</v>
      </c>
      <c r="C601" s="315" t="str">
        <f t="shared" si="28"/>
        <v>Cundinamarca</v>
      </c>
      <c r="D601" s="315" t="str">
        <f t="shared" si="29"/>
        <v>Nemocón, Cundinamarca</v>
      </c>
      <c r="E601" s="311">
        <v>25486</v>
      </c>
      <c r="F601" s="312">
        <v>0.15</v>
      </c>
      <c r="G601" s="312">
        <v>0.2</v>
      </c>
      <c r="H601" s="312" t="s">
        <v>40</v>
      </c>
      <c r="I601" s="312">
        <v>0.09</v>
      </c>
      <c r="J601" s="313">
        <v>0.05</v>
      </c>
    </row>
    <row r="602" spans="1:10" ht="17.25" thickBot="1" x14ac:dyDescent="0.35">
      <c r="A602" s="314" t="s">
        <v>895</v>
      </c>
      <c r="B602" s="315">
        <f t="shared" si="27"/>
        <v>0</v>
      </c>
      <c r="C602" s="315" t="str">
        <f t="shared" si="28"/>
        <v>Cundinamarca</v>
      </c>
      <c r="D602" s="315" t="str">
        <f t="shared" si="29"/>
        <v>Nilo, Cundinamarca</v>
      </c>
      <c r="E602" s="311">
        <v>25488</v>
      </c>
      <c r="F602" s="312">
        <v>0.2</v>
      </c>
      <c r="G602" s="312">
        <v>0.2</v>
      </c>
      <c r="H602" s="312" t="s">
        <v>40</v>
      </c>
      <c r="I602" s="312">
        <v>0.1</v>
      </c>
      <c r="J602" s="313">
        <v>0.05</v>
      </c>
    </row>
    <row r="603" spans="1:10" ht="17.25" thickBot="1" x14ac:dyDescent="0.35">
      <c r="A603" s="314" t="s">
        <v>896</v>
      </c>
      <c r="B603" s="315">
        <f t="shared" si="27"/>
        <v>0</v>
      </c>
      <c r="C603" s="315" t="str">
        <f t="shared" si="28"/>
        <v>Cundinamarca</v>
      </c>
      <c r="D603" s="315" t="str">
        <f t="shared" si="29"/>
        <v>Nimáima, Cundinamarca</v>
      </c>
      <c r="E603" s="311">
        <v>25489</v>
      </c>
      <c r="F603" s="312">
        <v>0.15</v>
      </c>
      <c r="G603" s="312">
        <v>0.2</v>
      </c>
      <c r="H603" s="312" t="s">
        <v>40</v>
      </c>
      <c r="I603" s="312">
        <v>0.14000000000000001</v>
      </c>
      <c r="J603" s="313">
        <v>0.06</v>
      </c>
    </row>
    <row r="604" spans="1:10" ht="17.25" thickBot="1" x14ac:dyDescent="0.35">
      <c r="A604" s="314" t="s">
        <v>897</v>
      </c>
      <c r="B604" s="315">
        <f t="shared" si="27"/>
        <v>0</v>
      </c>
      <c r="C604" s="315" t="str">
        <f t="shared" si="28"/>
        <v>Cundinamarca</v>
      </c>
      <c r="D604" s="315" t="str">
        <f t="shared" si="29"/>
        <v>Nocáima, Cundinamarca</v>
      </c>
      <c r="E604" s="311">
        <v>25491</v>
      </c>
      <c r="F604" s="312">
        <v>0.15</v>
      </c>
      <c r="G604" s="312">
        <v>0.2</v>
      </c>
      <c r="H604" s="312" t="s">
        <v>40</v>
      </c>
      <c r="I604" s="312">
        <v>0.14000000000000001</v>
      </c>
      <c r="J604" s="313">
        <v>0.06</v>
      </c>
    </row>
    <row r="605" spans="1:10" ht="17.25" thickBot="1" x14ac:dyDescent="0.35">
      <c r="A605" s="314" t="s">
        <v>898</v>
      </c>
      <c r="B605" s="315">
        <f t="shared" si="27"/>
        <v>0</v>
      </c>
      <c r="C605" s="315" t="str">
        <f t="shared" si="28"/>
        <v>Cundinamarca</v>
      </c>
      <c r="D605" s="315" t="str">
        <f t="shared" si="29"/>
        <v>Pacho, Cundinamarca</v>
      </c>
      <c r="E605" s="311">
        <v>25513</v>
      </c>
      <c r="F605" s="312">
        <v>0.15</v>
      </c>
      <c r="G605" s="312">
        <v>0.2</v>
      </c>
      <c r="H605" s="312" t="s">
        <v>40</v>
      </c>
      <c r="I605" s="312">
        <v>0.1</v>
      </c>
      <c r="J605" s="313">
        <v>0.06</v>
      </c>
    </row>
    <row r="606" spans="1:10" ht="17.25" thickBot="1" x14ac:dyDescent="0.35">
      <c r="A606" s="314" t="s">
        <v>899</v>
      </c>
      <c r="B606" s="315">
        <f t="shared" si="27"/>
        <v>0</v>
      </c>
      <c r="C606" s="315" t="str">
        <f t="shared" si="28"/>
        <v>Cundinamarca</v>
      </c>
      <c r="D606" s="315" t="str">
        <f t="shared" si="29"/>
        <v>Paime, Cundinamarca</v>
      </c>
      <c r="E606" s="311">
        <v>25518</v>
      </c>
      <c r="F606" s="312">
        <v>0.15</v>
      </c>
      <c r="G606" s="312">
        <v>0.15</v>
      </c>
      <c r="H606" s="312" t="s">
        <v>40</v>
      </c>
      <c r="I606" s="312">
        <v>0.12</v>
      </c>
      <c r="J606" s="313">
        <v>0.06</v>
      </c>
    </row>
    <row r="607" spans="1:10" ht="17.25" thickBot="1" x14ac:dyDescent="0.35">
      <c r="A607" s="314" t="s">
        <v>900</v>
      </c>
      <c r="B607" s="315">
        <f t="shared" si="27"/>
        <v>0</v>
      </c>
      <c r="C607" s="315" t="str">
        <f t="shared" si="28"/>
        <v>Cundinamarca</v>
      </c>
      <c r="D607" s="315" t="str">
        <f t="shared" si="29"/>
        <v>Pandi, Cundinamarca</v>
      </c>
      <c r="E607" s="311">
        <v>25524</v>
      </c>
      <c r="F607" s="312">
        <v>0.2</v>
      </c>
      <c r="G607" s="312">
        <v>0.2</v>
      </c>
      <c r="H607" s="312" t="s">
        <v>40</v>
      </c>
      <c r="I607" s="312">
        <v>0.09</v>
      </c>
      <c r="J607" s="313">
        <v>0.05</v>
      </c>
    </row>
    <row r="608" spans="1:10" ht="17.25" thickBot="1" x14ac:dyDescent="0.35">
      <c r="A608" s="314" t="s">
        <v>901</v>
      </c>
      <c r="B608" s="315">
        <f t="shared" si="27"/>
        <v>0</v>
      </c>
      <c r="C608" s="315" t="str">
        <f t="shared" si="28"/>
        <v>Cundinamarca</v>
      </c>
      <c r="D608" s="315" t="str">
        <f t="shared" si="29"/>
        <v>Paratebueno, Cundinamarca</v>
      </c>
      <c r="E608" s="311">
        <v>25530</v>
      </c>
      <c r="F608" s="312">
        <v>0.3</v>
      </c>
      <c r="G608" s="312">
        <v>0.25</v>
      </c>
      <c r="H608" s="312" t="s">
        <v>322</v>
      </c>
      <c r="I608" s="312">
        <v>0.09</v>
      </c>
      <c r="J608" s="313">
        <v>0.04</v>
      </c>
    </row>
    <row r="609" spans="1:10" ht="17.25" thickBot="1" x14ac:dyDescent="0.35">
      <c r="A609" s="314" t="s">
        <v>902</v>
      </c>
      <c r="B609" s="315">
        <f t="shared" si="27"/>
        <v>0</v>
      </c>
      <c r="C609" s="315" t="str">
        <f t="shared" si="28"/>
        <v>Cundinamarca</v>
      </c>
      <c r="D609" s="315" t="str">
        <f t="shared" si="29"/>
        <v>Pasca, Cundinamarca</v>
      </c>
      <c r="E609" s="311">
        <v>25535</v>
      </c>
      <c r="F609" s="312">
        <v>0.2</v>
      </c>
      <c r="G609" s="312">
        <v>0.2</v>
      </c>
      <c r="H609" s="312" t="s">
        <v>40</v>
      </c>
      <c r="I609" s="312">
        <v>0.1</v>
      </c>
      <c r="J609" s="313">
        <v>0.05</v>
      </c>
    </row>
    <row r="610" spans="1:10" ht="17.25" thickBot="1" x14ac:dyDescent="0.35">
      <c r="A610" s="314" t="s">
        <v>903</v>
      </c>
      <c r="B610" s="315">
        <f t="shared" si="27"/>
        <v>0</v>
      </c>
      <c r="C610" s="315" t="str">
        <f t="shared" si="28"/>
        <v>Cundinamarca</v>
      </c>
      <c r="D610" s="315" t="str">
        <f t="shared" si="29"/>
        <v>Puerto Salgar, Cundinamarca</v>
      </c>
      <c r="E610" s="311">
        <v>25572</v>
      </c>
      <c r="F610" s="312">
        <v>0.15</v>
      </c>
      <c r="G610" s="312">
        <v>0.2</v>
      </c>
      <c r="H610" s="312" t="s">
        <v>40</v>
      </c>
      <c r="I610" s="312">
        <v>0.11</v>
      </c>
      <c r="J610" s="313">
        <v>0.06</v>
      </c>
    </row>
    <row r="611" spans="1:10" ht="17.25" thickBot="1" x14ac:dyDescent="0.35">
      <c r="A611" s="314" t="s">
        <v>904</v>
      </c>
      <c r="B611" s="315">
        <f t="shared" si="27"/>
        <v>0</v>
      </c>
      <c r="C611" s="315" t="str">
        <f t="shared" si="28"/>
        <v>Cundinamarca</v>
      </c>
      <c r="D611" s="315" t="str">
        <f t="shared" si="29"/>
        <v>Pulí, Cundinamarca</v>
      </c>
      <c r="E611" s="311">
        <v>25580</v>
      </c>
      <c r="F611" s="312">
        <v>0.2</v>
      </c>
      <c r="G611" s="312">
        <v>0.2</v>
      </c>
      <c r="H611" s="312" t="s">
        <v>40</v>
      </c>
      <c r="I611" s="312">
        <v>0.14000000000000001</v>
      </c>
      <c r="J611" s="313">
        <v>0.06</v>
      </c>
    </row>
    <row r="612" spans="1:10" ht="17.25" thickBot="1" x14ac:dyDescent="0.35">
      <c r="A612" s="314" t="s">
        <v>905</v>
      </c>
      <c r="B612" s="315">
        <f t="shared" si="27"/>
        <v>0</v>
      </c>
      <c r="C612" s="315" t="str">
        <f t="shared" si="28"/>
        <v>Cundinamarca</v>
      </c>
      <c r="D612" s="315" t="str">
        <f t="shared" si="29"/>
        <v>Quebradanegra, Cundinamarca</v>
      </c>
      <c r="E612" s="311">
        <v>25592</v>
      </c>
      <c r="F612" s="312">
        <v>0.15</v>
      </c>
      <c r="G612" s="312">
        <v>0.2</v>
      </c>
      <c r="H612" s="312" t="s">
        <v>40</v>
      </c>
      <c r="I612" s="312">
        <v>0.16</v>
      </c>
      <c r="J612" s="313">
        <v>0.06</v>
      </c>
    </row>
    <row r="613" spans="1:10" ht="17.25" thickBot="1" x14ac:dyDescent="0.35">
      <c r="A613" s="314" t="s">
        <v>906</v>
      </c>
      <c r="B613" s="315">
        <f t="shared" si="27"/>
        <v>0</v>
      </c>
      <c r="C613" s="315" t="str">
        <f t="shared" si="28"/>
        <v>Cundinamarca</v>
      </c>
      <c r="D613" s="315" t="str">
        <f t="shared" si="29"/>
        <v>Quetame, Cundinamarca</v>
      </c>
      <c r="E613" s="311">
        <v>25594</v>
      </c>
      <c r="F613" s="312">
        <v>0.25</v>
      </c>
      <c r="G613" s="312">
        <v>0.25</v>
      </c>
      <c r="H613" s="312" t="s">
        <v>322</v>
      </c>
      <c r="I613" s="312">
        <v>0.16</v>
      </c>
      <c r="J613" s="313">
        <v>0.08</v>
      </c>
    </row>
    <row r="614" spans="1:10" ht="17.25" thickBot="1" x14ac:dyDescent="0.35">
      <c r="A614" s="314" t="s">
        <v>907</v>
      </c>
      <c r="B614" s="315">
        <f t="shared" si="27"/>
        <v>0</v>
      </c>
      <c r="C614" s="315" t="str">
        <f t="shared" si="28"/>
        <v>Cundinamarca</v>
      </c>
      <c r="D614" s="315" t="str">
        <f t="shared" si="29"/>
        <v>Quipile, Cundinamarca</v>
      </c>
      <c r="E614" s="311">
        <v>25596</v>
      </c>
      <c r="F614" s="312">
        <v>0.15</v>
      </c>
      <c r="G614" s="312">
        <v>0.2</v>
      </c>
      <c r="H614" s="312" t="s">
        <v>40</v>
      </c>
      <c r="I614" s="312">
        <v>0.16</v>
      </c>
      <c r="J614" s="313">
        <v>0.08</v>
      </c>
    </row>
    <row r="615" spans="1:10" ht="17.25" thickBot="1" x14ac:dyDescent="0.35">
      <c r="A615" s="314" t="s">
        <v>908</v>
      </c>
      <c r="B615" s="315">
        <f t="shared" si="27"/>
        <v>0</v>
      </c>
      <c r="C615" s="315" t="str">
        <f t="shared" si="28"/>
        <v>Cundinamarca</v>
      </c>
      <c r="D615" s="315" t="str">
        <f t="shared" si="29"/>
        <v>Ricaurte, Cundinamarca</v>
      </c>
      <c r="E615" s="311">
        <v>25612</v>
      </c>
      <c r="F615" s="312">
        <v>0.2</v>
      </c>
      <c r="G615" s="312">
        <v>0.2</v>
      </c>
      <c r="H615" s="312" t="s">
        <v>40</v>
      </c>
      <c r="I615" s="312">
        <v>0.11</v>
      </c>
      <c r="J615" s="313">
        <v>0.06</v>
      </c>
    </row>
    <row r="616" spans="1:10" ht="17.25" thickBot="1" x14ac:dyDescent="0.35">
      <c r="A616" s="314" t="s">
        <v>909</v>
      </c>
      <c r="B616" s="315">
        <f t="shared" si="27"/>
        <v>0</v>
      </c>
      <c r="C616" s="315" t="str">
        <f t="shared" si="28"/>
        <v>Cundinamarca</v>
      </c>
      <c r="D616" s="315" t="str">
        <f t="shared" si="29"/>
        <v>San Antonio De Tequendama, Cundinamarca</v>
      </c>
      <c r="E616" s="311">
        <v>25645</v>
      </c>
      <c r="F616" s="312">
        <v>0.15</v>
      </c>
      <c r="G616" s="312">
        <v>0.2</v>
      </c>
      <c r="H616" s="312" t="s">
        <v>40</v>
      </c>
      <c r="I616" s="312">
        <v>0.1</v>
      </c>
      <c r="J616" s="313">
        <v>0.06</v>
      </c>
    </row>
    <row r="617" spans="1:10" ht="17.25" thickBot="1" x14ac:dyDescent="0.35">
      <c r="A617" s="314" t="s">
        <v>910</v>
      </c>
      <c r="B617" s="315">
        <f t="shared" si="27"/>
        <v>0</v>
      </c>
      <c r="C617" s="315" t="str">
        <f t="shared" si="28"/>
        <v>Cundinamarca</v>
      </c>
      <c r="D617" s="315" t="str">
        <f t="shared" si="29"/>
        <v>San Bernardo, Cundinamarca</v>
      </c>
      <c r="E617" s="311">
        <v>25649</v>
      </c>
      <c r="F617" s="312">
        <v>0.25</v>
      </c>
      <c r="G617" s="312">
        <v>0.2</v>
      </c>
      <c r="H617" s="312" t="s">
        <v>322</v>
      </c>
      <c r="I617" s="312">
        <v>0.1</v>
      </c>
      <c r="J617" s="313">
        <v>0.05</v>
      </c>
    </row>
    <row r="618" spans="1:10" ht="17.25" thickBot="1" x14ac:dyDescent="0.35">
      <c r="A618" s="314" t="s">
        <v>911</v>
      </c>
      <c r="B618" s="315">
        <f t="shared" si="27"/>
        <v>0</v>
      </c>
      <c r="C618" s="315" t="str">
        <f t="shared" si="28"/>
        <v>Cundinamarca</v>
      </c>
      <c r="D618" s="315" t="str">
        <f t="shared" si="29"/>
        <v>San Cayetano, Cundinamarca</v>
      </c>
      <c r="E618" s="311">
        <v>25653</v>
      </c>
      <c r="F618" s="312">
        <v>0.15</v>
      </c>
      <c r="G618" s="312">
        <v>0.15</v>
      </c>
      <c r="H618" s="312" t="s">
        <v>40</v>
      </c>
      <c r="I618" s="312">
        <v>0.1</v>
      </c>
      <c r="J618" s="313">
        <v>0.06</v>
      </c>
    </row>
    <row r="619" spans="1:10" ht="17.25" thickBot="1" x14ac:dyDescent="0.35">
      <c r="A619" s="314" t="s">
        <v>425</v>
      </c>
      <c r="B619" s="315">
        <f t="shared" si="27"/>
        <v>0</v>
      </c>
      <c r="C619" s="315" t="str">
        <f t="shared" si="28"/>
        <v>Cundinamarca</v>
      </c>
      <c r="D619" s="315" t="str">
        <f t="shared" si="29"/>
        <v>San Francisco, Cundinamarca</v>
      </c>
      <c r="E619" s="311">
        <v>25658</v>
      </c>
      <c r="F619" s="312">
        <v>0.15</v>
      </c>
      <c r="G619" s="312">
        <v>0.2</v>
      </c>
      <c r="H619" s="312" t="s">
        <v>40</v>
      </c>
      <c r="I619" s="312">
        <v>0.11</v>
      </c>
      <c r="J619" s="313">
        <v>0.06</v>
      </c>
    </row>
    <row r="620" spans="1:10" ht="17.25" thickBot="1" x14ac:dyDescent="0.35">
      <c r="A620" s="314" t="s">
        <v>912</v>
      </c>
      <c r="B620" s="315">
        <f t="shared" si="27"/>
        <v>0</v>
      </c>
      <c r="C620" s="315" t="str">
        <f t="shared" si="28"/>
        <v>Cundinamarca</v>
      </c>
      <c r="D620" s="315" t="str">
        <f t="shared" si="29"/>
        <v>San Juan De Rioseco, Cundinamarca</v>
      </c>
      <c r="E620" s="311">
        <v>25662</v>
      </c>
      <c r="F620" s="312">
        <v>0.2</v>
      </c>
      <c r="G620" s="312">
        <v>0.2</v>
      </c>
      <c r="H620" s="312" t="s">
        <v>40</v>
      </c>
      <c r="I620" s="312">
        <v>0.16</v>
      </c>
      <c r="J620" s="313">
        <v>0.06</v>
      </c>
    </row>
    <row r="621" spans="1:10" ht="17.25" thickBot="1" x14ac:dyDescent="0.35">
      <c r="A621" s="314" t="s">
        <v>913</v>
      </c>
      <c r="B621" s="315">
        <f t="shared" si="27"/>
        <v>0</v>
      </c>
      <c r="C621" s="315" t="str">
        <f t="shared" si="28"/>
        <v>Cundinamarca</v>
      </c>
      <c r="D621" s="315" t="str">
        <f t="shared" si="29"/>
        <v>Sasaima, Cundinamarca</v>
      </c>
      <c r="E621" s="311">
        <v>25718</v>
      </c>
      <c r="F621" s="312">
        <v>0.15</v>
      </c>
      <c r="G621" s="312">
        <v>0.2</v>
      </c>
      <c r="H621" s="312" t="s">
        <v>40</v>
      </c>
      <c r="I621" s="312">
        <v>0.16</v>
      </c>
      <c r="J621" s="313">
        <v>0.06</v>
      </c>
    </row>
    <row r="622" spans="1:10" ht="17.25" thickBot="1" x14ac:dyDescent="0.35">
      <c r="A622" s="314" t="s">
        <v>914</v>
      </c>
      <c r="B622" s="315">
        <f t="shared" si="27"/>
        <v>0</v>
      </c>
      <c r="C622" s="315" t="str">
        <f t="shared" si="28"/>
        <v>Cundinamarca</v>
      </c>
      <c r="D622" s="315" t="str">
        <f t="shared" si="29"/>
        <v>Sesquilé, Cundinamarca</v>
      </c>
      <c r="E622" s="311">
        <v>25736</v>
      </c>
      <c r="F622" s="312">
        <v>0.15</v>
      </c>
      <c r="G622" s="312">
        <v>0.2</v>
      </c>
      <c r="H622" s="312" t="s">
        <v>40</v>
      </c>
      <c r="I622" s="312">
        <v>0.1</v>
      </c>
      <c r="J622" s="313">
        <v>0.05</v>
      </c>
    </row>
    <row r="623" spans="1:10" ht="17.25" thickBot="1" x14ac:dyDescent="0.35">
      <c r="A623" s="314" t="s">
        <v>915</v>
      </c>
      <c r="B623" s="315">
        <f t="shared" si="27"/>
        <v>0</v>
      </c>
      <c r="C623" s="315" t="str">
        <f t="shared" si="28"/>
        <v>Cundinamarca</v>
      </c>
      <c r="D623" s="315" t="str">
        <f t="shared" si="29"/>
        <v>Sibaté, Cundinamarca</v>
      </c>
      <c r="E623" s="311">
        <v>25740</v>
      </c>
      <c r="F623" s="312">
        <v>0.15</v>
      </c>
      <c r="G623" s="312">
        <v>0.2</v>
      </c>
      <c r="H623" s="312" t="s">
        <v>40</v>
      </c>
      <c r="I623" s="312">
        <v>0.09</v>
      </c>
      <c r="J623" s="313">
        <v>0.05</v>
      </c>
    </row>
    <row r="624" spans="1:10" ht="17.25" thickBot="1" x14ac:dyDescent="0.35">
      <c r="A624" s="314" t="s">
        <v>916</v>
      </c>
      <c r="B624" s="315">
        <f t="shared" si="27"/>
        <v>0</v>
      </c>
      <c r="C624" s="315" t="str">
        <f t="shared" si="28"/>
        <v>Cundinamarca</v>
      </c>
      <c r="D624" s="315" t="str">
        <f t="shared" si="29"/>
        <v>Silvania, Cundinamarca</v>
      </c>
      <c r="E624" s="311">
        <v>25743</v>
      </c>
      <c r="F624" s="312">
        <v>0.2</v>
      </c>
      <c r="G624" s="312">
        <v>0.2</v>
      </c>
      <c r="H624" s="312" t="s">
        <v>40</v>
      </c>
      <c r="I624" s="312">
        <v>0.09</v>
      </c>
      <c r="J624" s="313">
        <v>0.05</v>
      </c>
    </row>
    <row r="625" spans="1:10" ht="17.25" thickBot="1" x14ac:dyDescent="0.35">
      <c r="A625" s="314" t="s">
        <v>917</v>
      </c>
      <c r="B625" s="315">
        <f t="shared" si="27"/>
        <v>0</v>
      </c>
      <c r="C625" s="315" t="str">
        <f t="shared" si="28"/>
        <v>Cundinamarca</v>
      </c>
      <c r="D625" s="315" t="str">
        <f t="shared" si="29"/>
        <v>Simijaca, Cundinamarca</v>
      </c>
      <c r="E625" s="311">
        <v>25745</v>
      </c>
      <c r="F625" s="312">
        <v>0.15</v>
      </c>
      <c r="G625" s="312">
        <v>0.15</v>
      </c>
      <c r="H625" s="312" t="s">
        <v>40</v>
      </c>
      <c r="I625" s="312">
        <v>0.09</v>
      </c>
      <c r="J625" s="313">
        <v>0.05</v>
      </c>
    </row>
    <row r="626" spans="1:10" ht="17.25" thickBot="1" x14ac:dyDescent="0.35">
      <c r="A626" s="314" t="s">
        <v>918</v>
      </c>
      <c r="B626" s="315">
        <f t="shared" si="27"/>
        <v>0</v>
      </c>
      <c r="C626" s="315" t="str">
        <f t="shared" si="28"/>
        <v>Cundinamarca</v>
      </c>
      <c r="D626" s="315" t="str">
        <f t="shared" si="29"/>
        <v>Soacha, Cundinamarca</v>
      </c>
      <c r="E626" s="311">
        <v>25754</v>
      </c>
      <c r="F626" s="312">
        <v>0.15</v>
      </c>
      <c r="G626" s="312">
        <v>0.2</v>
      </c>
      <c r="H626" s="312" t="s">
        <v>40</v>
      </c>
      <c r="I626" s="312">
        <v>0.09</v>
      </c>
      <c r="J626" s="313">
        <v>0.05</v>
      </c>
    </row>
    <row r="627" spans="1:10" ht="17.25" thickBot="1" x14ac:dyDescent="0.35">
      <c r="A627" s="314" t="s">
        <v>919</v>
      </c>
      <c r="B627" s="315">
        <f t="shared" si="27"/>
        <v>0</v>
      </c>
      <c r="C627" s="315" t="str">
        <f t="shared" si="28"/>
        <v>Cundinamarca</v>
      </c>
      <c r="D627" s="315" t="str">
        <f t="shared" si="29"/>
        <v>Sopó, Cundinamarca</v>
      </c>
      <c r="E627" s="311">
        <v>25758</v>
      </c>
      <c r="F627" s="312">
        <v>0.15</v>
      </c>
      <c r="G627" s="312">
        <v>0.2</v>
      </c>
      <c r="H627" s="312" t="s">
        <v>40</v>
      </c>
      <c r="I627" s="312">
        <v>0.09</v>
      </c>
      <c r="J627" s="313">
        <v>0.05</v>
      </c>
    </row>
    <row r="628" spans="1:10" ht="17.25" thickBot="1" x14ac:dyDescent="0.35">
      <c r="A628" s="314" t="s">
        <v>920</v>
      </c>
      <c r="B628" s="315">
        <f t="shared" si="27"/>
        <v>0</v>
      </c>
      <c r="C628" s="315" t="str">
        <f t="shared" si="28"/>
        <v>Cundinamarca</v>
      </c>
      <c r="D628" s="315" t="str">
        <f t="shared" si="29"/>
        <v>Subachoque, Cundinamarca</v>
      </c>
      <c r="E628" s="311">
        <v>25769</v>
      </c>
      <c r="F628" s="312">
        <v>0.15</v>
      </c>
      <c r="G628" s="312">
        <v>0.2</v>
      </c>
      <c r="H628" s="312" t="s">
        <v>40</v>
      </c>
      <c r="I628" s="312">
        <v>0.1</v>
      </c>
      <c r="J628" s="313">
        <v>0.06</v>
      </c>
    </row>
    <row r="629" spans="1:10" ht="17.25" thickBot="1" x14ac:dyDescent="0.35">
      <c r="A629" s="314" t="s">
        <v>921</v>
      </c>
      <c r="B629" s="315">
        <f t="shared" si="27"/>
        <v>0</v>
      </c>
      <c r="C629" s="315" t="str">
        <f t="shared" si="28"/>
        <v>Cundinamarca</v>
      </c>
      <c r="D629" s="315" t="str">
        <f t="shared" si="29"/>
        <v>Suesca, Cundinamarca</v>
      </c>
      <c r="E629" s="311">
        <v>25772</v>
      </c>
      <c r="F629" s="312">
        <v>0.15</v>
      </c>
      <c r="G629" s="312">
        <v>0.2</v>
      </c>
      <c r="H629" s="312" t="s">
        <v>40</v>
      </c>
      <c r="I629" s="312">
        <v>0.09</v>
      </c>
      <c r="J629" s="313">
        <v>0.05</v>
      </c>
    </row>
    <row r="630" spans="1:10" ht="17.25" thickBot="1" x14ac:dyDescent="0.35">
      <c r="A630" s="314" t="s">
        <v>922</v>
      </c>
      <c r="B630" s="315">
        <f t="shared" si="27"/>
        <v>0</v>
      </c>
      <c r="C630" s="315" t="str">
        <f t="shared" si="28"/>
        <v>Cundinamarca</v>
      </c>
      <c r="D630" s="315" t="str">
        <f t="shared" si="29"/>
        <v>Supatá, Cundinamarca</v>
      </c>
      <c r="E630" s="311">
        <v>25777</v>
      </c>
      <c r="F630" s="312">
        <v>0.15</v>
      </c>
      <c r="G630" s="312">
        <v>0.2</v>
      </c>
      <c r="H630" s="312" t="s">
        <v>40</v>
      </c>
      <c r="I630" s="312">
        <v>0.11</v>
      </c>
      <c r="J630" s="313">
        <v>0.06</v>
      </c>
    </row>
    <row r="631" spans="1:10" ht="17.25" thickBot="1" x14ac:dyDescent="0.35">
      <c r="A631" s="314" t="s">
        <v>923</v>
      </c>
      <c r="B631" s="315">
        <f t="shared" si="27"/>
        <v>0</v>
      </c>
      <c r="C631" s="315" t="str">
        <f t="shared" si="28"/>
        <v>Cundinamarca</v>
      </c>
      <c r="D631" s="315" t="str">
        <f t="shared" si="29"/>
        <v>Susa, Cundinamarca</v>
      </c>
      <c r="E631" s="311">
        <v>25779</v>
      </c>
      <c r="F631" s="312">
        <v>0.15</v>
      </c>
      <c r="G631" s="312">
        <v>0.2</v>
      </c>
      <c r="H631" s="312" t="s">
        <v>40</v>
      </c>
      <c r="I631" s="312">
        <v>0.09</v>
      </c>
      <c r="J631" s="313">
        <v>0.05</v>
      </c>
    </row>
    <row r="632" spans="1:10" ht="17.25" thickBot="1" x14ac:dyDescent="0.35">
      <c r="A632" s="314" t="s">
        <v>924</v>
      </c>
      <c r="B632" s="315">
        <f t="shared" si="27"/>
        <v>0</v>
      </c>
      <c r="C632" s="315" t="str">
        <f t="shared" si="28"/>
        <v>Cundinamarca</v>
      </c>
      <c r="D632" s="315" t="str">
        <f t="shared" si="29"/>
        <v>Sutatausa, Cundinamarca</v>
      </c>
      <c r="E632" s="311">
        <v>25781</v>
      </c>
      <c r="F632" s="312">
        <v>0.15</v>
      </c>
      <c r="G632" s="312">
        <v>0.2</v>
      </c>
      <c r="H632" s="312" t="s">
        <v>40</v>
      </c>
      <c r="I632" s="312">
        <v>0.08</v>
      </c>
      <c r="J632" s="313">
        <v>0.05</v>
      </c>
    </row>
    <row r="633" spans="1:10" ht="17.25" thickBot="1" x14ac:dyDescent="0.35">
      <c r="A633" s="314" t="s">
        <v>925</v>
      </c>
      <c r="B633" s="315">
        <f t="shared" si="27"/>
        <v>0</v>
      </c>
      <c r="C633" s="315" t="str">
        <f t="shared" si="28"/>
        <v>Cundinamarca</v>
      </c>
      <c r="D633" s="315" t="str">
        <f t="shared" si="29"/>
        <v>Tábio, Cundinamarca</v>
      </c>
      <c r="E633" s="311">
        <v>25785</v>
      </c>
      <c r="F633" s="312">
        <v>0.15</v>
      </c>
      <c r="G633" s="312">
        <v>0.2</v>
      </c>
      <c r="H633" s="312" t="s">
        <v>40</v>
      </c>
      <c r="I633" s="312">
        <v>0.09</v>
      </c>
      <c r="J633" s="313">
        <v>0.05</v>
      </c>
    </row>
    <row r="634" spans="1:10" ht="17.25" thickBot="1" x14ac:dyDescent="0.35">
      <c r="A634" s="314" t="s">
        <v>926</v>
      </c>
      <c r="B634" s="315">
        <f t="shared" si="27"/>
        <v>0</v>
      </c>
      <c r="C634" s="315" t="str">
        <f t="shared" si="28"/>
        <v>Cundinamarca</v>
      </c>
      <c r="D634" s="315" t="str">
        <f t="shared" si="29"/>
        <v>Tausa, Cundinamarca</v>
      </c>
      <c r="E634" s="311">
        <v>25793</v>
      </c>
      <c r="F634" s="312">
        <v>0.15</v>
      </c>
      <c r="G634" s="312">
        <v>0.2</v>
      </c>
      <c r="H634" s="312" t="s">
        <v>40</v>
      </c>
      <c r="I634" s="312">
        <v>0.09</v>
      </c>
      <c r="J634" s="313">
        <v>0.05</v>
      </c>
    </row>
    <row r="635" spans="1:10" ht="17.25" thickBot="1" x14ac:dyDescent="0.35">
      <c r="A635" s="314" t="s">
        <v>927</v>
      </c>
      <c r="B635" s="315">
        <f t="shared" si="27"/>
        <v>0</v>
      </c>
      <c r="C635" s="315" t="str">
        <f t="shared" si="28"/>
        <v>Cundinamarca</v>
      </c>
      <c r="D635" s="315" t="str">
        <f t="shared" si="29"/>
        <v>Tena, Cundinamarca</v>
      </c>
      <c r="E635" s="311">
        <v>25797</v>
      </c>
      <c r="F635" s="312">
        <v>0.15</v>
      </c>
      <c r="G635" s="312">
        <v>0.2</v>
      </c>
      <c r="H635" s="312" t="s">
        <v>40</v>
      </c>
      <c r="I635" s="312">
        <v>0.12</v>
      </c>
      <c r="J635" s="313">
        <v>0.06</v>
      </c>
    </row>
    <row r="636" spans="1:10" ht="17.25" thickBot="1" x14ac:dyDescent="0.35">
      <c r="A636" s="314" t="s">
        <v>928</v>
      </c>
      <c r="B636" s="315">
        <f t="shared" si="27"/>
        <v>0</v>
      </c>
      <c r="C636" s="315" t="str">
        <f t="shared" si="28"/>
        <v>Cundinamarca</v>
      </c>
      <c r="D636" s="315" t="str">
        <f t="shared" si="29"/>
        <v>Tenjo, Cundinamarca</v>
      </c>
      <c r="E636" s="311">
        <v>25799</v>
      </c>
      <c r="F636" s="312">
        <v>0.15</v>
      </c>
      <c r="G636" s="312">
        <v>0.2</v>
      </c>
      <c r="H636" s="312" t="s">
        <v>40</v>
      </c>
      <c r="I636" s="312">
        <v>0.09</v>
      </c>
      <c r="J636" s="313">
        <v>0.05</v>
      </c>
    </row>
    <row r="637" spans="1:10" ht="17.25" thickBot="1" x14ac:dyDescent="0.35">
      <c r="A637" s="314" t="s">
        <v>929</v>
      </c>
      <c r="B637" s="315">
        <f t="shared" si="27"/>
        <v>0</v>
      </c>
      <c r="C637" s="315" t="str">
        <f t="shared" si="28"/>
        <v>Cundinamarca</v>
      </c>
      <c r="D637" s="315" t="str">
        <f t="shared" si="29"/>
        <v>Tibacuy, Cundinamarca</v>
      </c>
      <c r="E637" s="311">
        <v>25805</v>
      </c>
      <c r="F637" s="312">
        <v>0.2</v>
      </c>
      <c r="G637" s="312">
        <v>0.2</v>
      </c>
      <c r="H637" s="312" t="s">
        <v>40</v>
      </c>
      <c r="I637" s="312">
        <v>0.09</v>
      </c>
      <c r="J637" s="313">
        <v>0.05</v>
      </c>
    </row>
    <row r="638" spans="1:10" ht="17.25" thickBot="1" x14ac:dyDescent="0.35">
      <c r="A638" s="314" t="s">
        <v>930</v>
      </c>
      <c r="B638" s="315">
        <f t="shared" si="27"/>
        <v>0</v>
      </c>
      <c r="C638" s="315" t="str">
        <f t="shared" si="28"/>
        <v>Cundinamarca</v>
      </c>
      <c r="D638" s="315" t="str">
        <f t="shared" si="29"/>
        <v>Tibiritá, Cundinamarca</v>
      </c>
      <c r="E638" s="311">
        <v>25807</v>
      </c>
      <c r="F638" s="312">
        <v>0.2</v>
      </c>
      <c r="G638" s="312">
        <v>0.25</v>
      </c>
      <c r="H638" s="312" t="s">
        <v>322</v>
      </c>
      <c r="I638" s="312">
        <v>0.15</v>
      </c>
      <c r="J638" s="313">
        <v>0.06</v>
      </c>
    </row>
    <row r="639" spans="1:10" ht="17.25" thickBot="1" x14ac:dyDescent="0.35">
      <c r="A639" s="314" t="s">
        <v>931</v>
      </c>
      <c r="B639" s="315">
        <f t="shared" si="27"/>
        <v>0</v>
      </c>
      <c r="C639" s="315" t="str">
        <f t="shared" si="28"/>
        <v>Cundinamarca</v>
      </c>
      <c r="D639" s="315" t="str">
        <f t="shared" si="29"/>
        <v>Tocaima, Cundinamarca</v>
      </c>
      <c r="E639" s="311">
        <v>25815</v>
      </c>
      <c r="F639" s="312">
        <v>0.2</v>
      </c>
      <c r="G639" s="312">
        <v>0.2</v>
      </c>
      <c r="H639" s="312" t="s">
        <v>40</v>
      </c>
      <c r="I639" s="312">
        <v>0.12</v>
      </c>
      <c r="J639" s="313">
        <v>0.06</v>
      </c>
    </row>
    <row r="640" spans="1:10" ht="17.25" thickBot="1" x14ac:dyDescent="0.35">
      <c r="A640" s="314" t="s">
        <v>932</v>
      </c>
      <c r="B640" s="315">
        <f t="shared" si="27"/>
        <v>0</v>
      </c>
      <c r="C640" s="315" t="str">
        <f t="shared" si="28"/>
        <v>Cundinamarca</v>
      </c>
      <c r="D640" s="315" t="str">
        <f t="shared" si="29"/>
        <v>Tocancipá, Cundinamarca</v>
      </c>
      <c r="E640" s="311">
        <v>25817</v>
      </c>
      <c r="F640" s="312">
        <v>0.15</v>
      </c>
      <c r="G640" s="312">
        <v>0.2</v>
      </c>
      <c r="H640" s="312" t="s">
        <v>40</v>
      </c>
      <c r="I640" s="312">
        <v>0.09</v>
      </c>
      <c r="J640" s="313">
        <v>0.05</v>
      </c>
    </row>
    <row r="641" spans="1:10" ht="17.25" thickBot="1" x14ac:dyDescent="0.35">
      <c r="A641" s="314" t="s">
        <v>933</v>
      </c>
      <c r="B641" s="315">
        <f t="shared" si="27"/>
        <v>0</v>
      </c>
      <c r="C641" s="315" t="str">
        <f t="shared" si="28"/>
        <v>Cundinamarca</v>
      </c>
      <c r="D641" s="315" t="str">
        <f t="shared" si="29"/>
        <v>Topaipí, Cundinamarca</v>
      </c>
      <c r="E641" s="311">
        <v>25823</v>
      </c>
      <c r="F641" s="312">
        <v>0.15</v>
      </c>
      <c r="G641" s="312">
        <v>0.15</v>
      </c>
      <c r="H641" s="312" t="s">
        <v>40</v>
      </c>
      <c r="I641" s="312">
        <v>0.15</v>
      </c>
      <c r="J641" s="313">
        <v>0.06</v>
      </c>
    </row>
    <row r="642" spans="1:10" ht="17.25" thickBot="1" x14ac:dyDescent="0.35">
      <c r="A642" s="314" t="s">
        <v>934</v>
      </c>
      <c r="B642" s="315">
        <f t="shared" si="27"/>
        <v>0</v>
      </c>
      <c r="C642" s="315" t="str">
        <f t="shared" si="28"/>
        <v>Cundinamarca</v>
      </c>
      <c r="D642" s="315" t="str">
        <f t="shared" si="29"/>
        <v>Ubalá, Cundinamarca</v>
      </c>
      <c r="E642" s="311">
        <v>25839</v>
      </c>
      <c r="F642" s="312">
        <v>0.25</v>
      </c>
      <c r="G642" s="312">
        <v>0.25</v>
      </c>
      <c r="H642" s="312" t="s">
        <v>322</v>
      </c>
      <c r="I642" s="312">
        <v>0.16</v>
      </c>
      <c r="J642" s="313">
        <v>0.06</v>
      </c>
    </row>
    <row r="643" spans="1:10" ht="17.25" thickBot="1" x14ac:dyDescent="0.35">
      <c r="A643" s="314" t="s">
        <v>935</v>
      </c>
      <c r="B643" s="315">
        <f t="shared" ref="B643:B706" si="30">IFERROR(FIND("Departamento",A643),0)</f>
        <v>0</v>
      </c>
      <c r="C643" s="315" t="str">
        <f t="shared" ref="C643:C706" si="31">IF(B643=1,IF(ISERROR(FIND("del",A643)),MID(A643,17,30),MID(A643,18,30)),C642)</f>
        <v>Cundinamarca</v>
      </c>
      <c r="D643" s="315" t="str">
        <f t="shared" ref="D643:D706" si="32">IF(B643=1,"",CONCATENATE(A643,", ",C643))</f>
        <v>Ubaque, Cundinamarca</v>
      </c>
      <c r="E643" s="311">
        <v>25841</v>
      </c>
      <c r="F643" s="312">
        <v>0.2</v>
      </c>
      <c r="G643" s="312">
        <v>0.25</v>
      </c>
      <c r="H643" s="312" t="s">
        <v>322</v>
      </c>
      <c r="I643" s="312">
        <v>0.12</v>
      </c>
      <c r="J643" s="313">
        <v>0.06</v>
      </c>
    </row>
    <row r="644" spans="1:10" ht="17.25" thickBot="1" x14ac:dyDescent="0.35">
      <c r="A644" s="314" t="s">
        <v>936</v>
      </c>
      <c r="B644" s="315">
        <f t="shared" si="30"/>
        <v>0</v>
      </c>
      <c r="C644" s="315" t="str">
        <f t="shared" si="31"/>
        <v>Cundinamarca</v>
      </c>
      <c r="D644" s="315" t="str">
        <f t="shared" si="32"/>
        <v>Ubaté, Cundinamarca</v>
      </c>
      <c r="E644" s="311">
        <v>25843</v>
      </c>
      <c r="F644" s="312">
        <v>0.15</v>
      </c>
      <c r="G644" s="312">
        <v>0.2</v>
      </c>
      <c r="H644" s="312" t="s">
        <v>40</v>
      </c>
      <c r="I644" s="312">
        <v>0.08</v>
      </c>
      <c r="J644" s="313">
        <v>0.05</v>
      </c>
    </row>
    <row r="645" spans="1:10" ht="17.25" thickBot="1" x14ac:dyDescent="0.35">
      <c r="A645" s="314" t="s">
        <v>937</v>
      </c>
      <c r="B645" s="315">
        <f t="shared" si="30"/>
        <v>0</v>
      </c>
      <c r="C645" s="315" t="str">
        <f t="shared" si="31"/>
        <v>Cundinamarca</v>
      </c>
      <c r="D645" s="315" t="str">
        <f t="shared" si="32"/>
        <v>Une, Cundinamarca</v>
      </c>
      <c r="E645" s="311">
        <v>25845</v>
      </c>
      <c r="F645" s="312">
        <v>0.2</v>
      </c>
      <c r="G645" s="312">
        <v>0.25</v>
      </c>
      <c r="H645" s="312" t="s">
        <v>322</v>
      </c>
      <c r="I645" s="312">
        <v>0.13</v>
      </c>
      <c r="J645" s="313">
        <v>0.06</v>
      </c>
    </row>
    <row r="646" spans="1:10" ht="17.25" thickBot="1" x14ac:dyDescent="0.35">
      <c r="A646" s="314" t="s">
        <v>938</v>
      </c>
      <c r="B646" s="315">
        <f t="shared" si="30"/>
        <v>0</v>
      </c>
      <c r="C646" s="315" t="str">
        <f t="shared" si="31"/>
        <v>Cundinamarca</v>
      </c>
      <c r="D646" s="315" t="str">
        <f t="shared" si="32"/>
        <v>Útica, Cundinamarca</v>
      </c>
      <c r="E646" s="311">
        <v>25851</v>
      </c>
      <c r="F646" s="312">
        <v>0.15</v>
      </c>
      <c r="G646" s="312">
        <v>0.2</v>
      </c>
      <c r="H646" s="312" t="s">
        <v>40</v>
      </c>
      <c r="I646" s="312">
        <v>0.18</v>
      </c>
      <c r="J646" s="313">
        <v>0.06</v>
      </c>
    </row>
    <row r="647" spans="1:10" ht="17.25" thickBot="1" x14ac:dyDescent="0.35">
      <c r="A647" s="314" t="s">
        <v>454</v>
      </c>
      <c r="B647" s="315">
        <f t="shared" si="30"/>
        <v>0</v>
      </c>
      <c r="C647" s="315" t="str">
        <f t="shared" si="31"/>
        <v>Cundinamarca</v>
      </c>
      <c r="D647" s="315" t="str">
        <f t="shared" si="32"/>
        <v>Venecia, Cundinamarca</v>
      </c>
      <c r="E647" s="311">
        <v>25506</v>
      </c>
      <c r="F647" s="312">
        <v>0.25</v>
      </c>
      <c r="G647" s="312">
        <v>0.2</v>
      </c>
      <c r="H647" s="312" t="s">
        <v>322</v>
      </c>
      <c r="I647" s="312">
        <v>0.1</v>
      </c>
      <c r="J647" s="313">
        <v>0.05</v>
      </c>
    </row>
    <row r="648" spans="1:10" ht="17.25" thickBot="1" x14ac:dyDescent="0.35">
      <c r="A648" s="314" t="s">
        <v>939</v>
      </c>
      <c r="B648" s="315">
        <f t="shared" si="30"/>
        <v>0</v>
      </c>
      <c r="C648" s="315" t="str">
        <f t="shared" si="31"/>
        <v>Cundinamarca</v>
      </c>
      <c r="D648" s="315" t="str">
        <f t="shared" si="32"/>
        <v>Vergara, Cundinamarca</v>
      </c>
      <c r="E648" s="311">
        <v>25862</v>
      </c>
      <c r="F648" s="312">
        <v>0.15</v>
      </c>
      <c r="G648" s="312">
        <v>0.2</v>
      </c>
      <c r="H648" s="312" t="s">
        <v>40</v>
      </c>
      <c r="I648" s="312">
        <v>0.12</v>
      </c>
      <c r="J648" s="313">
        <v>0.06</v>
      </c>
    </row>
    <row r="649" spans="1:10" ht="17.25" thickBot="1" x14ac:dyDescent="0.35">
      <c r="A649" s="314" t="s">
        <v>940</v>
      </c>
      <c r="B649" s="315">
        <f t="shared" si="30"/>
        <v>0</v>
      </c>
      <c r="C649" s="315" t="str">
        <f t="shared" si="31"/>
        <v>Cundinamarca</v>
      </c>
      <c r="D649" s="315" t="str">
        <f t="shared" si="32"/>
        <v>Vianí, Cundinamarca</v>
      </c>
      <c r="E649" s="311">
        <v>25867</v>
      </c>
      <c r="F649" s="312">
        <v>0.15</v>
      </c>
      <c r="G649" s="312">
        <v>0.2</v>
      </c>
      <c r="H649" s="312" t="s">
        <v>40</v>
      </c>
      <c r="I649" s="312">
        <v>0.16</v>
      </c>
      <c r="J649" s="313">
        <v>0.06</v>
      </c>
    </row>
    <row r="650" spans="1:10" ht="17.25" thickBot="1" x14ac:dyDescent="0.35">
      <c r="A650" s="314" t="s">
        <v>941</v>
      </c>
      <c r="B650" s="315">
        <f t="shared" si="30"/>
        <v>0</v>
      </c>
      <c r="C650" s="315" t="str">
        <f t="shared" si="31"/>
        <v>Cundinamarca</v>
      </c>
      <c r="D650" s="315" t="str">
        <f t="shared" si="32"/>
        <v>Villagómez, Cundinamarca</v>
      </c>
      <c r="E650" s="311">
        <v>25871</v>
      </c>
      <c r="F650" s="312">
        <v>0.15</v>
      </c>
      <c r="G650" s="312">
        <v>0.15</v>
      </c>
      <c r="H650" s="312" t="s">
        <v>40</v>
      </c>
      <c r="I650" s="312">
        <v>0.11</v>
      </c>
      <c r="J650" s="313">
        <v>0.06</v>
      </c>
    </row>
    <row r="651" spans="1:10" ht="17.25" thickBot="1" x14ac:dyDescent="0.35">
      <c r="A651" s="314" t="s">
        <v>942</v>
      </c>
      <c r="B651" s="315">
        <f t="shared" si="30"/>
        <v>0</v>
      </c>
      <c r="C651" s="315" t="str">
        <f t="shared" si="31"/>
        <v>Cundinamarca</v>
      </c>
      <c r="D651" s="315" t="str">
        <f t="shared" si="32"/>
        <v>Villapinzón, Cundinamarca</v>
      </c>
      <c r="E651" s="311">
        <v>25873</v>
      </c>
      <c r="F651" s="312">
        <v>0.2</v>
      </c>
      <c r="G651" s="312">
        <v>0.2</v>
      </c>
      <c r="H651" s="312" t="s">
        <v>40</v>
      </c>
      <c r="I651" s="312">
        <v>0.11</v>
      </c>
      <c r="J651" s="313">
        <v>0.05</v>
      </c>
    </row>
    <row r="652" spans="1:10" ht="17.25" thickBot="1" x14ac:dyDescent="0.35">
      <c r="A652" s="314" t="s">
        <v>943</v>
      </c>
      <c r="B652" s="315">
        <f t="shared" si="30"/>
        <v>0</v>
      </c>
      <c r="C652" s="315" t="str">
        <f t="shared" si="31"/>
        <v>Cundinamarca</v>
      </c>
      <c r="D652" s="315" t="str">
        <f t="shared" si="32"/>
        <v>Villeta, Cundinamarca</v>
      </c>
      <c r="E652" s="311">
        <v>25875</v>
      </c>
      <c r="F652" s="312">
        <v>0.15</v>
      </c>
      <c r="G652" s="312">
        <v>0.2</v>
      </c>
      <c r="H652" s="312" t="s">
        <v>40</v>
      </c>
      <c r="I652" s="312">
        <v>0.17</v>
      </c>
      <c r="J652" s="313">
        <v>0.06</v>
      </c>
    </row>
    <row r="653" spans="1:10" ht="17.25" thickBot="1" x14ac:dyDescent="0.35">
      <c r="A653" s="314" t="s">
        <v>944</v>
      </c>
      <c r="B653" s="315">
        <f t="shared" si="30"/>
        <v>0</v>
      </c>
      <c r="C653" s="315" t="str">
        <f t="shared" si="31"/>
        <v>Cundinamarca</v>
      </c>
      <c r="D653" s="315" t="str">
        <f t="shared" si="32"/>
        <v>Viotá, Cundinamarca</v>
      </c>
      <c r="E653" s="311">
        <v>25878</v>
      </c>
      <c r="F653" s="312">
        <v>0.2</v>
      </c>
      <c r="G653" s="312">
        <v>0.2</v>
      </c>
      <c r="H653" s="312" t="s">
        <v>40</v>
      </c>
      <c r="I653" s="312">
        <v>0.1</v>
      </c>
      <c r="J653" s="313">
        <v>0.05</v>
      </c>
    </row>
    <row r="654" spans="1:10" ht="17.25" thickBot="1" x14ac:dyDescent="0.35">
      <c r="A654" s="314" t="s">
        <v>945</v>
      </c>
      <c r="B654" s="315">
        <f t="shared" si="30"/>
        <v>0</v>
      </c>
      <c r="C654" s="315" t="str">
        <f t="shared" si="31"/>
        <v>Cundinamarca</v>
      </c>
      <c r="D654" s="315" t="str">
        <f t="shared" si="32"/>
        <v>Yacopí, Cundinamarca</v>
      </c>
      <c r="E654" s="311">
        <v>25885</v>
      </c>
      <c r="F654" s="312">
        <v>0.15</v>
      </c>
      <c r="G654" s="312">
        <v>0.15</v>
      </c>
      <c r="H654" s="312" t="s">
        <v>40</v>
      </c>
      <c r="I654" s="312">
        <v>0.15</v>
      </c>
      <c r="J654" s="313">
        <v>0.06</v>
      </c>
    </row>
    <row r="655" spans="1:10" ht="17.25" thickBot="1" x14ac:dyDescent="0.35">
      <c r="A655" s="314" t="s">
        <v>946</v>
      </c>
      <c r="B655" s="315">
        <f t="shared" si="30"/>
        <v>0</v>
      </c>
      <c r="C655" s="315" t="str">
        <f t="shared" si="31"/>
        <v>Cundinamarca</v>
      </c>
      <c r="D655" s="315" t="str">
        <f t="shared" si="32"/>
        <v>Zipacón, Cundinamarca</v>
      </c>
      <c r="E655" s="311">
        <v>25898</v>
      </c>
      <c r="F655" s="312">
        <v>0.15</v>
      </c>
      <c r="G655" s="312">
        <v>0.2</v>
      </c>
      <c r="H655" s="312" t="s">
        <v>40</v>
      </c>
      <c r="I655" s="312">
        <v>0.13</v>
      </c>
      <c r="J655" s="313">
        <v>0.06</v>
      </c>
    </row>
    <row r="656" spans="1:10" ht="17.25" thickBot="1" x14ac:dyDescent="0.35">
      <c r="A656" s="314" t="s">
        <v>947</v>
      </c>
      <c r="B656" s="315">
        <f t="shared" si="30"/>
        <v>0</v>
      </c>
      <c r="C656" s="315" t="str">
        <f t="shared" si="31"/>
        <v>Cundinamarca</v>
      </c>
      <c r="D656" s="315" t="str">
        <f t="shared" si="32"/>
        <v>Zipaquirá, Cundinamarca</v>
      </c>
      <c r="E656" s="311">
        <v>25899</v>
      </c>
      <c r="F656" s="312">
        <v>0.15</v>
      </c>
      <c r="G656" s="312">
        <v>0.2</v>
      </c>
      <c r="H656" s="312" t="s">
        <v>40</v>
      </c>
      <c r="I656" s="312">
        <v>0.09</v>
      </c>
      <c r="J656" s="313">
        <v>0.05</v>
      </c>
    </row>
    <row r="657" spans="1:10" ht="17.25" thickBot="1" x14ac:dyDescent="0.35">
      <c r="A657" s="299" t="s">
        <v>296</v>
      </c>
      <c r="B657" s="300">
        <v>1</v>
      </c>
      <c r="C657" s="300" t="str">
        <f>A657</f>
        <v>Distrito</v>
      </c>
      <c r="D657" s="300" t="str">
        <f t="shared" si="32"/>
        <v/>
      </c>
      <c r="E657" s="301" t="s">
        <v>948</v>
      </c>
      <c r="F657" s="302"/>
      <c r="G657" s="302"/>
      <c r="H657" s="302"/>
      <c r="I657" s="302"/>
      <c r="J657" s="303"/>
    </row>
    <row r="658" spans="1:10" ht="17.25" thickBot="1" x14ac:dyDescent="0.35">
      <c r="A658" s="309" t="s">
        <v>248</v>
      </c>
      <c r="B658" s="310">
        <f t="shared" si="30"/>
        <v>0</v>
      </c>
      <c r="C658" s="310" t="str">
        <f t="shared" si="31"/>
        <v>Distrito</v>
      </c>
      <c r="D658" s="310" t="str">
        <f t="shared" si="32"/>
        <v>Bogotá D.C., Distrito</v>
      </c>
      <c r="E658" s="311">
        <v>11001</v>
      </c>
      <c r="F658" s="312">
        <v>0.15</v>
      </c>
      <c r="G658" s="312">
        <v>0.2</v>
      </c>
      <c r="H658" s="312" t="s">
        <v>40</v>
      </c>
      <c r="I658" s="312">
        <v>0.13</v>
      </c>
      <c r="J658" s="313">
        <v>0.06</v>
      </c>
    </row>
    <row r="659" spans="1:10" ht="17.25" thickBot="1" x14ac:dyDescent="0.35">
      <c r="A659" s="299" t="s">
        <v>949</v>
      </c>
      <c r="B659" s="300">
        <f t="shared" si="30"/>
        <v>1</v>
      </c>
      <c r="C659" s="300" t="str">
        <f t="shared" si="31"/>
        <v>Guainía</v>
      </c>
      <c r="D659" s="300" t="str">
        <f t="shared" si="32"/>
        <v/>
      </c>
      <c r="E659" s="301"/>
      <c r="F659" s="302"/>
      <c r="G659" s="302"/>
      <c r="H659" s="302"/>
      <c r="I659" s="302"/>
      <c r="J659" s="303"/>
    </row>
    <row r="660" spans="1:10" ht="17.25" thickBot="1" x14ac:dyDescent="0.35">
      <c r="A660" s="309" t="s">
        <v>950</v>
      </c>
      <c r="B660" s="310">
        <f t="shared" si="30"/>
        <v>0</v>
      </c>
      <c r="C660" s="310" t="str">
        <f t="shared" si="31"/>
        <v>Guainía</v>
      </c>
      <c r="D660" s="310" t="str">
        <f t="shared" si="32"/>
        <v>Puerto Inírida, Guainía</v>
      </c>
      <c r="E660" s="311">
        <v>94001</v>
      </c>
      <c r="F660" s="312">
        <v>0.05</v>
      </c>
      <c r="G660" s="312">
        <v>0.05</v>
      </c>
      <c r="H660" s="312" t="s">
        <v>295</v>
      </c>
      <c r="I660" s="312">
        <v>0.04</v>
      </c>
      <c r="J660" s="313">
        <v>0.02</v>
      </c>
    </row>
    <row r="661" spans="1:10" ht="17.25" thickBot="1" x14ac:dyDescent="0.35">
      <c r="A661" s="314" t="s">
        <v>951</v>
      </c>
      <c r="B661" s="315">
        <f t="shared" si="30"/>
        <v>0</v>
      </c>
      <c r="C661" s="315" t="str">
        <f t="shared" si="31"/>
        <v>Guainía</v>
      </c>
      <c r="D661" s="315" t="str">
        <f t="shared" si="32"/>
        <v>Barranco Mina, Guainía</v>
      </c>
      <c r="E661" s="311">
        <v>94343</v>
      </c>
      <c r="F661" s="312">
        <v>0.05</v>
      </c>
      <c r="G661" s="312">
        <v>0.05</v>
      </c>
      <c r="H661" s="312" t="s">
        <v>295</v>
      </c>
      <c r="I661" s="312">
        <v>0.04</v>
      </c>
      <c r="J661" s="313">
        <v>0.02</v>
      </c>
    </row>
    <row r="662" spans="1:10" ht="17.25" thickBot="1" x14ac:dyDescent="0.35">
      <c r="A662" s="314" t="s">
        <v>952</v>
      </c>
      <c r="B662" s="315">
        <f t="shared" si="30"/>
        <v>0</v>
      </c>
      <c r="C662" s="315" t="str">
        <f t="shared" si="31"/>
        <v>Guainía</v>
      </c>
      <c r="D662" s="315" t="str">
        <f t="shared" si="32"/>
        <v>Cacahual, Guainía</v>
      </c>
      <c r="E662" s="311">
        <v>94886</v>
      </c>
      <c r="F662" s="312">
        <v>0.05</v>
      </c>
      <c r="G662" s="312">
        <v>0.05</v>
      </c>
      <c r="H662" s="312" t="s">
        <v>295</v>
      </c>
      <c r="I662" s="312">
        <v>0.04</v>
      </c>
      <c r="J662" s="313">
        <v>0.02</v>
      </c>
    </row>
    <row r="663" spans="1:10" ht="17.25" thickBot="1" x14ac:dyDescent="0.35">
      <c r="A663" s="314" t="s">
        <v>953</v>
      </c>
      <c r="B663" s="315">
        <f t="shared" si="30"/>
        <v>0</v>
      </c>
      <c r="C663" s="315" t="str">
        <f t="shared" si="31"/>
        <v>Guainía</v>
      </c>
      <c r="D663" s="315" t="str">
        <f t="shared" si="32"/>
        <v>La Guadalupe, Guainía</v>
      </c>
      <c r="E663" s="311">
        <v>94885</v>
      </c>
      <c r="F663" s="312">
        <v>0.05</v>
      </c>
      <c r="G663" s="312">
        <v>0.05</v>
      </c>
      <c r="H663" s="312" t="s">
        <v>295</v>
      </c>
      <c r="I663" s="312">
        <v>0.04</v>
      </c>
      <c r="J663" s="313">
        <v>0.02</v>
      </c>
    </row>
    <row r="664" spans="1:10" ht="17.25" thickBot="1" x14ac:dyDescent="0.35">
      <c r="A664" s="314" t="s">
        <v>954</v>
      </c>
      <c r="B664" s="315">
        <f t="shared" si="30"/>
        <v>0</v>
      </c>
      <c r="C664" s="315" t="str">
        <f t="shared" si="31"/>
        <v>Guainía</v>
      </c>
      <c r="D664" s="315" t="str">
        <f t="shared" si="32"/>
        <v>Mapiripaná, Guainía</v>
      </c>
      <c r="E664" s="311">
        <v>94663</v>
      </c>
      <c r="F664" s="312">
        <v>0.05</v>
      </c>
      <c r="G664" s="312">
        <v>0.05</v>
      </c>
      <c r="H664" s="312" t="s">
        <v>295</v>
      </c>
      <c r="I664" s="312">
        <v>0.04</v>
      </c>
      <c r="J664" s="313">
        <v>0.02</v>
      </c>
    </row>
    <row r="665" spans="1:10" ht="17.25" thickBot="1" x14ac:dyDescent="0.35">
      <c r="A665" s="314" t="s">
        <v>955</v>
      </c>
      <c r="B665" s="315">
        <f t="shared" si="30"/>
        <v>0</v>
      </c>
      <c r="C665" s="315" t="str">
        <f t="shared" si="31"/>
        <v>Guainía</v>
      </c>
      <c r="D665" s="315" t="str">
        <f t="shared" si="32"/>
        <v>Morichal, Guainía</v>
      </c>
      <c r="E665" s="311">
        <v>94888</v>
      </c>
      <c r="F665" s="312">
        <v>0.05</v>
      </c>
      <c r="G665" s="312">
        <v>0.05</v>
      </c>
      <c r="H665" s="312" t="s">
        <v>295</v>
      </c>
      <c r="I665" s="312">
        <v>0.04</v>
      </c>
      <c r="J665" s="313">
        <v>0.02</v>
      </c>
    </row>
    <row r="666" spans="1:10" ht="17.25" thickBot="1" x14ac:dyDescent="0.35">
      <c r="A666" s="314" t="s">
        <v>956</v>
      </c>
      <c r="B666" s="315">
        <f t="shared" si="30"/>
        <v>0</v>
      </c>
      <c r="C666" s="315" t="str">
        <f t="shared" si="31"/>
        <v>Guainía</v>
      </c>
      <c r="D666" s="315" t="str">
        <f t="shared" si="32"/>
        <v>Pana Pana, Guainía</v>
      </c>
      <c r="E666" s="311">
        <v>94887</v>
      </c>
      <c r="F666" s="312">
        <v>0.05</v>
      </c>
      <c r="G666" s="312">
        <v>0.05</v>
      </c>
      <c r="H666" s="312" t="s">
        <v>295</v>
      </c>
      <c r="I666" s="312">
        <v>0.04</v>
      </c>
      <c r="J666" s="313">
        <v>0.02</v>
      </c>
    </row>
    <row r="667" spans="1:10" ht="17.25" thickBot="1" x14ac:dyDescent="0.35">
      <c r="A667" s="314" t="s">
        <v>484</v>
      </c>
      <c r="B667" s="315">
        <f t="shared" si="30"/>
        <v>0</v>
      </c>
      <c r="C667" s="315" t="str">
        <f t="shared" si="31"/>
        <v>Guainía</v>
      </c>
      <c r="D667" s="315" t="str">
        <f t="shared" si="32"/>
        <v>Puerto Colombia, Guainía</v>
      </c>
      <c r="E667" s="311">
        <v>94884</v>
      </c>
      <c r="F667" s="312">
        <v>0.05</v>
      </c>
      <c r="G667" s="312">
        <v>0.05</v>
      </c>
      <c r="H667" s="312" t="s">
        <v>295</v>
      </c>
      <c r="I667" s="312">
        <v>0.04</v>
      </c>
      <c r="J667" s="313">
        <v>0.02</v>
      </c>
    </row>
    <row r="668" spans="1:10" ht="17.25" thickBot="1" x14ac:dyDescent="0.35">
      <c r="A668" s="314" t="s">
        <v>957</v>
      </c>
      <c r="B668" s="315">
        <f t="shared" si="30"/>
        <v>0</v>
      </c>
      <c r="C668" s="315" t="str">
        <f t="shared" si="31"/>
        <v>Guainía</v>
      </c>
      <c r="D668" s="315" t="str">
        <f t="shared" si="32"/>
        <v>San Felipe, Guainía</v>
      </c>
      <c r="E668" s="311">
        <v>94883</v>
      </c>
      <c r="F668" s="312">
        <v>0.05</v>
      </c>
      <c r="G668" s="312">
        <v>0.05</v>
      </c>
      <c r="H668" s="312" t="s">
        <v>295</v>
      </c>
      <c r="I668" s="312">
        <v>0.04</v>
      </c>
      <c r="J668" s="313">
        <v>0.02</v>
      </c>
    </row>
    <row r="669" spans="1:10" ht="17.25" thickBot="1" x14ac:dyDescent="0.35">
      <c r="A669" s="299" t="s">
        <v>958</v>
      </c>
      <c r="B669" s="300">
        <f t="shared" si="30"/>
        <v>1</v>
      </c>
      <c r="C669" s="300" t="str">
        <f t="shared" si="31"/>
        <v>La Guajira</v>
      </c>
      <c r="D669" s="300" t="str">
        <f t="shared" si="32"/>
        <v/>
      </c>
      <c r="E669" s="301"/>
      <c r="F669" s="302"/>
      <c r="G669" s="302"/>
      <c r="H669" s="302"/>
      <c r="I669" s="302"/>
      <c r="J669" s="303"/>
    </row>
    <row r="670" spans="1:10" ht="17.25" thickBot="1" x14ac:dyDescent="0.35">
      <c r="A670" s="309" t="s">
        <v>959</v>
      </c>
      <c r="B670" s="310">
        <f t="shared" si="30"/>
        <v>0</v>
      </c>
      <c r="C670" s="310" t="str">
        <f t="shared" si="31"/>
        <v>La Guajira</v>
      </c>
      <c r="D670" s="310" t="str">
        <f t="shared" si="32"/>
        <v>Riohacha, La Guajira</v>
      </c>
      <c r="E670" s="311">
        <v>44001</v>
      </c>
      <c r="F670" s="312">
        <v>0.1</v>
      </c>
      <c r="G670" s="312">
        <v>0.15</v>
      </c>
      <c r="H670" s="312" t="s">
        <v>40</v>
      </c>
      <c r="I670" s="312">
        <v>7.0000000000000007E-2</v>
      </c>
      <c r="J670" s="313">
        <v>0.04</v>
      </c>
    </row>
    <row r="671" spans="1:10" ht="17.25" thickBot="1" x14ac:dyDescent="0.35">
      <c r="A671" s="314" t="s">
        <v>686</v>
      </c>
      <c r="B671" s="315">
        <f t="shared" si="30"/>
        <v>0</v>
      </c>
      <c r="C671" s="315" t="str">
        <f t="shared" si="31"/>
        <v>La Guajira</v>
      </c>
      <c r="D671" s="315" t="str">
        <f t="shared" si="32"/>
        <v>Albania, La Guajira</v>
      </c>
      <c r="E671" s="311">
        <v>44035</v>
      </c>
      <c r="F671" s="312">
        <v>0.1</v>
      </c>
      <c r="G671" s="312">
        <v>0.1</v>
      </c>
      <c r="H671" s="312" t="s">
        <v>295</v>
      </c>
      <c r="I671" s="312">
        <v>0.08</v>
      </c>
      <c r="J671" s="313">
        <v>0.04</v>
      </c>
    </row>
    <row r="672" spans="1:10" ht="17.25" thickBot="1" x14ac:dyDescent="0.35">
      <c r="A672" s="314" t="s">
        <v>960</v>
      </c>
      <c r="B672" s="315">
        <f t="shared" si="30"/>
        <v>0</v>
      </c>
      <c r="C672" s="315" t="str">
        <f t="shared" si="31"/>
        <v>La Guajira</v>
      </c>
      <c r="D672" s="315" t="str">
        <f t="shared" si="32"/>
        <v>Barrancas, La Guajira</v>
      </c>
      <c r="E672" s="311">
        <v>44078</v>
      </c>
      <c r="F672" s="312">
        <v>0.15</v>
      </c>
      <c r="G672" s="312">
        <v>0.1</v>
      </c>
      <c r="H672" s="312" t="s">
        <v>40</v>
      </c>
      <c r="I672" s="312">
        <v>0.08</v>
      </c>
      <c r="J672" s="313">
        <v>0.04</v>
      </c>
    </row>
    <row r="673" spans="1:10" ht="17.25" thickBot="1" x14ac:dyDescent="0.35">
      <c r="A673" s="314" t="s">
        <v>961</v>
      </c>
      <c r="B673" s="315">
        <f t="shared" si="30"/>
        <v>0</v>
      </c>
      <c r="C673" s="315" t="str">
        <f t="shared" si="31"/>
        <v>La Guajira</v>
      </c>
      <c r="D673" s="315" t="str">
        <f t="shared" si="32"/>
        <v>Dibulla, La Guajira</v>
      </c>
      <c r="E673" s="311">
        <v>44090</v>
      </c>
      <c r="F673" s="312">
        <v>0.15</v>
      </c>
      <c r="G673" s="312">
        <v>0.1</v>
      </c>
      <c r="H673" s="312" t="s">
        <v>40</v>
      </c>
      <c r="I673" s="312">
        <v>0.08</v>
      </c>
      <c r="J673" s="313">
        <v>0.04</v>
      </c>
    </row>
    <row r="674" spans="1:10" ht="17.25" thickBot="1" x14ac:dyDescent="0.35">
      <c r="A674" s="314" t="s">
        <v>962</v>
      </c>
      <c r="B674" s="315">
        <f t="shared" si="30"/>
        <v>0</v>
      </c>
      <c r="C674" s="315" t="str">
        <f t="shared" si="31"/>
        <v>La Guajira</v>
      </c>
      <c r="D674" s="315" t="str">
        <f t="shared" si="32"/>
        <v>Distracción, La Guajira</v>
      </c>
      <c r="E674" s="311">
        <v>44098</v>
      </c>
      <c r="F674" s="312">
        <v>0.15</v>
      </c>
      <c r="G674" s="312">
        <v>0.1</v>
      </c>
      <c r="H674" s="312" t="s">
        <v>40</v>
      </c>
      <c r="I674" s="312">
        <v>0.08</v>
      </c>
      <c r="J674" s="313">
        <v>0.04</v>
      </c>
    </row>
    <row r="675" spans="1:10" ht="17.25" thickBot="1" x14ac:dyDescent="0.35">
      <c r="A675" s="314" t="s">
        <v>963</v>
      </c>
      <c r="B675" s="315">
        <f t="shared" si="30"/>
        <v>0</v>
      </c>
      <c r="C675" s="315" t="str">
        <f t="shared" si="31"/>
        <v>La Guajira</v>
      </c>
      <c r="D675" s="315" t="str">
        <f t="shared" si="32"/>
        <v>El Molino, La Guajira</v>
      </c>
      <c r="E675" s="311">
        <v>44110</v>
      </c>
      <c r="F675" s="312">
        <v>0.1</v>
      </c>
      <c r="G675" s="312">
        <v>0.1</v>
      </c>
      <c r="H675" s="312" t="s">
        <v>295</v>
      </c>
      <c r="I675" s="312">
        <v>0.06</v>
      </c>
      <c r="J675" s="313">
        <v>0.04</v>
      </c>
    </row>
    <row r="676" spans="1:10" ht="17.25" thickBot="1" x14ac:dyDescent="0.35">
      <c r="A676" s="314" t="s">
        <v>964</v>
      </c>
      <c r="B676" s="315">
        <f t="shared" si="30"/>
        <v>0</v>
      </c>
      <c r="C676" s="315" t="str">
        <f t="shared" si="31"/>
        <v>La Guajira</v>
      </c>
      <c r="D676" s="315" t="str">
        <f t="shared" si="32"/>
        <v>Fonseca, La Guajira</v>
      </c>
      <c r="E676" s="311">
        <v>44279</v>
      </c>
      <c r="F676" s="312">
        <v>0.15</v>
      </c>
      <c r="G676" s="312">
        <v>0.1</v>
      </c>
      <c r="H676" s="312" t="s">
        <v>40</v>
      </c>
      <c r="I676" s="312">
        <v>7.0000000000000007E-2</v>
      </c>
      <c r="J676" s="313">
        <v>0.04</v>
      </c>
    </row>
    <row r="677" spans="1:10" ht="17.25" thickBot="1" x14ac:dyDescent="0.35">
      <c r="A677" s="314" t="s">
        <v>965</v>
      </c>
      <c r="B677" s="315">
        <f t="shared" si="30"/>
        <v>0</v>
      </c>
      <c r="C677" s="315" t="str">
        <f t="shared" si="31"/>
        <v>La Guajira</v>
      </c>
      <c r="D677" s="315" t="str">
        <f t="shared" si="32"/>
        <v>HatoNuevo, La Guajira</v>
      </c>
      <c r="E677" s="311">
        <v>44378</v>
      </c>
      <c r="F677" s="312">
        <v>0.15</v>
      </c>
      <c r="G677" s="312">
        <v>0.1</v>
      </c>
      <c r="H677" s="312" t="s">
        <v>40</v>
      </c>
      <c r="I677" s="312">
        <v>0.08</v>
      </c>
      <c r="J677" s="313">
        <v>0.04</v>
      </c>
    </row>
    <row r="678" spans="1:10" ht="17.25" thickBot="1" x14ac:dyDescent="0.35">
      <c r="A678" s="314" t="s">
        <v>966</v>
      </c>
      <c r="B678" s="315">
        <f t="shared" si="30"/>
        <v>0</v>
      </c>
      <c r="C678" s="315" t="str">
        <f t="shared" si="31"/>
        <v>La Guajira</v>
      </c>
      <c r="D678" s="315" t="str">
        <f t="shared" si="32"/>
        <v>La Jagua del Pilar, La Guajira</v>
      </c>
      <c r="E678" s="311">
        <v>44420</v>
      </c>
      <c r="F678" s="312">
        <v>0.1</v>
      </c>
      <c r="G678" s="312">
        <v>0.1</v>
      </c>
      <c r="H678" s="312" t="s">
        <v>295</v>
      </c>
      <c r="I678" s="312">
        <v>0.05</v>
      </c>
      <c r="J678" s="313">
        <v>0.03</v>
      </c>
    </row>
    <row r="679" spans="1:10" ht="17.25" thickBot="1" x14ac:dyDescent="0.35">
      <c r="A679" s="314" t="s">
        <v>967</v>
      </c>
      <c r="B679" s="315">
        <f t="shared" si="30"/>
        <v>0</v>
      </c>
      <c r="C679" s="315" t="str">
        <f t="shared" si="31"/>
        <v>La Guajira</v>
      </c>
      <c r="D679" s="315" t="str">
        <f t="shared" si="32"/>
        <v>Maicao, La Guajira</v>
      </c>
      <c r="E679" s="311">
        <v>44430</v>
      </c>
      <c r="F679" s="312">
        <v>0.1</v>
      </c>
      <c r="G679" s="312">
        <v>0.15</v>
      </c>
      <c r="H679" s="312" t="s">
        <v>40</v>
      </c>
      <c r="I679" s="312">
        <v>7.0000000000000007E-2</v>
      </c>
      <c r="J679" s="313">
        <v>0.04</v>
      </c>
    </row>
    <row r="680" spans="1:10" ht="17.25" thickBot="1" x14ac:dyDescent="0.35">
      <c r="A680" s="314" t="s">
        <v>770</v>
      </c>
      <c r="B680" s="315">
        <f t="shared" si="30"/>
        <v>0</v>
      </c>
      <c r="C680" s="315" t="str">
        <f t="shared" si="31"/>
        <v>La Guajira</v>
      </c>
      <c r="D680" s="315" t="str">
        <f t="shared" si="32"/>
        <v>Manaure, La Guajira</v>
      </c>
      <c r="E680" s="311">
        <v>44560</v>
      </c>
      <c r="F680" s="312">
        <v>0.1</v>
      </c>
      <c r="G680" s="312">
        <v>0.15</v>
      </c>
      <c r="H680" s="312" t="s">
        <v>40</v>
      </c>
      <c r="I680" s="312">
        <v>7.0000000000000007E-2</v>
      </c>
      <c r="J680" s="313">
        <v>0.04</v>
      </c>
    </row>
    <row r="681" spans="1:10" ht="17.25" thickBot="1" x14ac:dyDescent="0.35">
      <c r="A681" s="314" t="s">
        <v>968</v>
      </c>
      <c r="B681" s="315">
        <f t="shared" si="30"/>
        <v>0</v>
      </c>
      <c r="C681" s="315" t="str">
        <f t="shared" si="31"/>
        <v>La Guajira</v>
      </c>
      <c r="D681" s="315" t="str">
        <f t="shared" si="32"/>
        <v>San Juan del Cesar, La Guajira</v>
      </c>
      <c r="E681" s="311">
        <v>44650</v>
      </c>
      <c r="F681" s="312">
        <v>0.15</v>
      </c>
      <c r="G681" s="312">
        <v>0.1</v>
      </c>
      <c r="H681" s="312" t="s">
        <v>40</v>
      </c>
      <c r="I681" s="312">
        <v>0.05</v>
      </c>
      <c r="J681" s="313">
        <v>0.03</v>
      </c>
    </row>
    <row r="682" spans="1:10" ht="17.25" thickBot="1" x14ac:dyDescent="0.35">
      <c r="A682" s="314" t="s">
        <v>969</v>
      </c>
      <c r="B682" s="315">
        <f t="shared" si="30"/>
        <v>0</v>
      </c>
      <c r="C682" s="315" t="str">
        <f t="shared" si="31"/>
        <v>La Guajira</v>
      </c>
      <c r="D682" s="315" t="str">
        <f t="shared" si="32"/>
        <v>Uribía, La Guajira</v>
      </c>
      <c r="E682" s="311">
        <v>44847</v>
      </c>
      <c r="F682" s="312">
        <v>0.15</v>
      </c>
      <c r="G682" s="312">
        <v>0.15</v>
      </c>
      <c r="H682" s="312" t="s">
        <v>40</v>
      </c>
      <c r="I682" s="312">
        <v>0.08</v>
      </c>
      <c r="J682" s="313">
        <v>0.04</v>
      </c>
    </row>
    <row r="683" spans="1:10" ht="17.25" thickBot="1" x14ac:dyDescent="0.35">
      <c r="A683" s="314" t="s">
        <v>970</v>
      </c>
      <c r="B683" s="315">
        <f t="shared" si="30"/>
        <v>0</v>
      </c>
      <c r="C683" s="315" t="str">
        <f t="shared" si="31"/>
        <v>La Guajira</v>
      </c>
      <c r="D683" s="315" t="str">
        <f t="shared" si="32"/>
        <v>Urumita, La Guajira</v>
      </c>
      <c r="E683" s="311">
        <v>44855</v>
      </c>
      <c r="F683" s="312">
        <v>0.1</v>
      </c>
      <c r="G683" s="312">
        <v>0.1</v>
      </c>
      <c r="H683" s="312" t="s">
        <v>295</v>
      </c>
      <c r="I683" s="312">
        <v>0.06</v>
      </c>
      <c r="J683" s="313">
        <v>0.03</v>
      </c>
    </row>
    <row r="684" spans="1:10" ht="17.25" thickBot="1" x14ac:dyDescent="0.35">
      <c r="A684" s="314" t="s">
        <v>536</v>
      </c>
      <c r="B684" s="315">
        <f t="shared" si="30"/>
        <v>0</v>
      </c>
      <c r="C684" s="315" t="str">
        <f t="shared" si="31"/>
        <v>La Guajira</v>
      </c>
      <c r="D684" s="315" t="str">
        <f t="shared" si="32"/>
        <v>Villanueva, La Guajira</v>
      </c>
      <c r="E684" s="311">
        <v>44874</v>
      </c>
      <c r="F684" s="312">
        <v>0.1</v>
      </c>
      <c r="G684" s="312">
        <v>0.1</v>
      </c>
      <c r="H684" s="312" t="s">
        <v>295</v>
      </c>
      <c r="I684" s="312">
        <v>0.05</v>
      </c>
      <c r="J684" s="313">
        <v>0.03</v>
      </c>
    </row>
    <row r="685" spans="1:10" ht="17.25" thickBot="1" x14ac:dyDescent="0.35">
      <c r="A685" s="299" t="s">
        <v>971</v>
      </c>
      <c r="B685" s="300">
        <f t="shared" si="30"/>
        <v>1</v>
      </c>
      <c r="C685" s="300" t="str">
        <f t="shared" si="31"/>
        <v>Guaviare</v>
      </c>
      <c r="D685" s="300" t="str">
        <f t="shared" si="32"/>
        <v/>
      </c>
      <c r="E685" s="301"/>
      <c r="F685" s="302"/>
      <c r="G685" s="302"/>
      <c r="H685" s="302"/>
      <c r="I685" s="302"/>
      <c r="J685" s="303"/>
    </row>
    <row r="686" spans="1:10" ht="17.25" thickBot="1" x14ac:dyDescent="0.35">
      <c r="A686" s="309" t="s">
        <v>972</v>
      </c>
      <c r="B686" s="310">
        <f t="shared" si="30"/>
        <v>0</v>
      </c>
      <c r="C686" s="310" t="str">
        <f t="shared" si="31"/>
        <v>Guaviare</v>
      </c>
      <c r="D686" s="310" t="str">
        <f t="shared" si="32"/>
        <v>San José del Guaviare, Guaviare</v>
      </c>
      <c r="E686" s="311">
        <v>95001</v>
      </c>
      <c r="F686" s="312">
        <v>0.05</v>
      </c>
      <c r="G686" s="312">
        <v>0.05</v>
      </c>
      <c r="H686" s="312" t="s">
        <v>295</v>
      </c>
      <c r="I686" s="312">
        <v>0.04</v>
      </c>
      <c r="J686" s="313">
        <v>0.02</v>
      </c>
    </row>
    <row r="687" spans="1:10" ht="17.25" thickBot="1" x14ac:dyDescent="0.35">
      <c r="A687" s="314" t="s">
        <v>501</v>
      </c>
      <c r="B687" s="315">
        <f t="shared" si="30"/>
        <v>0</v>
      </c>
      <c r="C687" s="315" t="str">
        <f t="shared" si="31"/>
        <v>Guaviare</v>
      </c>
      <c r="D687" s="315" t="str">
        <f t="shared" si="32"/>
        <v>Calamar, Guaviare</v>
      </c>
      <c r="E687" s="311">
        <v>95015</v>
      </c>
      <c r="F687" s="312">
        <v>0.05</v>
      </c>
      <c r="G687" s="312">
        <v>0.05</v>
      </c>
      <c r="H687" s="312" t="s">
        <v>295</v>
      </c>
      <c r="I687" s="312">
        <v>0.04</v>
      </c>
      <c r="J687" s="313">
        <v>0.02</v>
      </c>
    </row>
    <row r="688" spans="1:10" ht="17.25" thickBot="1" x14ac:dyDescent="0.35">
      <c r="A688" s="314" t="s">
        <v>973</v>
      </c>
      <c r="B688" s="315">
        <f t="shared" si="30"/>
        <v>0</v>
      </c>
      <c r="C688" s="315" t="str">
        <f t="shared" si="31"/>
        <v>Guaviare</v>
      </c>
      <c r="D688" s="315" t="str">
        <f t="shared" si="32"/>
        <v>El Retorno, Guaviare</v>
      </c>
      <c r="E688" s="311">
        <v>95025</v>
      </c>
      <c r="F688" s="312">
        <v>0.05</v>
      </c>
      <c r="G688" s="312">
        <v>0.05</v>
      </c>
      <c r="H688" s="312" t="s">
        <v>295</v>
      </c>
      <c r="I688" s="312">
        <v>0.04</v>
      </c>
      <c r="J688" s="313">
        <v>0.02</v>
      </c>
    </row>
    <row r="689" spans="1:10" ht="17.25" thickBot="1" x14ac:dyDescent="0.35">
      <c r="A689" s="314" t="s">
        <v>586</v>
      </c>
      <c r="B689" s="315">
        <f t="shared" si="30"/>
        <v>0</v>
      </c>
      <c r="C689" s="315" t="str">
        <f t="shared" si="31"/>
        <v>Guaviare</v>
      </c>
      <c r="D689" s="315" t="str">
        <f t="shared" si="32"/>
        <v>Miraflores, Guaviare</v>
      </c>
      <c r="E689" s="311">
        <v>95200</v>
      </c>
      <c r="F689" s="312">
        <v>0.05</v>
      </c>
      <c r="G689" s="312">
        <v>0.05</v>
      </c>
      <c r="H689" s="312" t="s">
        <v>295</v>
      </c>
      <c r="I689" s="312">
        <v>0.04</v>
      </c>
      <c r="J689" s="313">
        <v>0.02</v>
      </c>
    </row>
    <row r="690" spans="1:10" ht="17.25" thickBot="1" x14ac:dyDescent="0.35">
      <c r="A690" s="299" t="s">
        <v>974</v>
      </c>
      <c r="B690" s="300">
        <f t="shared" si="30"/>
        <v>1</v>
      </c>
      <c r="C690" s="300" t="str">
        <f t="shared" si="31"/>
        <v>Huila</v>
      </c>
      <c r="D690" s="300" t="str">
        <f t="shared" si="32"/>
        <v/>
      </c>
      <c r="E690" s="301"/>
      <c r="F690" s="302"/>
      <c r="G690" s="302"/>
      <c r="H690" s="302"/>
      <c r="I690" s="302"/>
      <c r="J690" s="303"/>
    </row>
    <row r="691" spans="1:10" ht="17.25" thickBot="1" x14ac:dyDescent="0.35">
      <c r="A691" s="309" t="s">
        <v>975</v>
      </c>
      <c r="B691" s="310">
        <f t="shared" si="30"/>
        <v>0</v>
      </c>
      <c r="C691" s="310" t="str">
        <f t="shared" si="31"/>
        <v>Huila</v>
      </c>
      <c r="D691" s="310" t="str">
        <f t="shared" si="32"/>
        <v>Neiva, Huila</v>
      </c>
      <c r="E691" s="311">
        <v>41001</v>
      </c>
      <c r="F691" s="312">
        <v>0.25</v>
      </c>
      <c r="G691" s="312">
        <v>0.25</v>
      </c>
      <c r="H691" s="312" t="s">
        <v>322</v>
      </c>
      <c r="I691" s="312">
        <v>0.2</v>
      </c>
      <c r="J691" s="313">
        <v>0.08</v>
      </c>
    </row>
    <row r="692" spans="1:10" ht="17.25" thickBot="1" x14ac:dyDescent="0.35">
      <c r="A692" s="314" t="s">
        <v>976</v>
      </c>
      <c r="B692" s="315">
        <f t="shared" si="30"/>
        <v>0</v>
      </c>
      <c r="C692" s="315" t="str">
        <f t="shared" si="31"/>
        <v>Huila</v>
      </c>
      <c r="D692" s="315" t="str">
        <f t="shared" si="32"/>
        <v>Acevedo, Huila</v>
      </c>
      <c r="E692" s="311">
        <v>41006</v>
      </c>
      <c r="F692" s="312">
        <v>0.3</v>
      </c>
      <c r="G692" s="312">
        <v>0.15</v>
      </c>
      <c r="H692" s="312" t="s">
        <v>322</v>
      </c>
      <c r="I692" s="312">
        <v>0.17</v>
      </c>
      <c r="J692" s="313">
        <v>0.06</v>
      </c>
    </row>
    <row r="693" spans="1:10" ht="17.25" thickBot="1" x14ac:dyDescent="0.35">
      <c r="A693" s="314" t="s">
        <v>977</v>
      </c>
      <c r="B693" s="315">
        <f t="shared" si="30"/>
        <v>0</v>
      </c>
      <c r="C693" s="315" t="str">
        <f t="shared" si="31"/>
        <v>Huila</v>
      </c>
      <c r="D693" s="315" t="str">
        <f t="shared" si="32"/>
        <v>Agrado, Huila</v>
      </c>
      <c r="E693" s="311">
        <v>41013</v>
      </c>
      <c r="F693" s="312">
        <v>0.3</v>
      </c>
      <c r="G693" s="312">
        <v>0.15</v>
      </c>
      <c r="H693" s="312" t="s">
        <v>322</v>
      </c>
      <c r="I693" s="312">
        <v>0.26</v>
      </c>
      <c r="J693" s="313">
        <v>0.08</v>
      </c>
    </row>
    <row r="694" spans="1:10" ht="17.25" thickBot="1" x14ac:dyDescent="0.35">
      <c r="A694" s="314" t="s">
        <v>978</v>
      </c>
      <c r="B694" s="315">
        <f t="shared" si="30"/>
        <v>0</v>
      </c>
      <c r="C694" s="315" t="str">
        <f t="shared" si="31"/>
        <v>Huila</v>
      </c>
      <c r="D694" s="315" t="str">
        <f t="shared" si="32"/>
        <v>Aipe, Huila</v>
      </c>
      <c r="E694" s="311">
        <v>41016</v>
      </c>
      <c r="F694" s="312">
        <v>0.25</v>
      </c>
      <c r="G694" s="312">
        <v>0.25</v>
      </c>
      <c r="H694" s="312" t="s">
        <v>322</v>
      </c>
      <c r="I694" s="312">
        <v>0.14000000000000001</v>
      </c>
      <c r="J694" s="313">
        <v>0.05</v>
      </c>
    </row>
    <row r="695" spans="1:10" ht="17.25" thickBot="1" x14ac:dyDescent="0.35">
      <c r="A695" s="314" t="s">
        <v>979</v>
      </c>
      <c r="B695" s="315">
        <f t="shared" si="30"/>
        <v>0</v>
      </c>
      <c r="C695" s="315" t="str">
        <f t="shared" si="31"/>
        <v>Huila</v>
      </c>
      <c r="D695" s="315" t="str">
        <f t="shared" si="32"/>
        <v>Algeciras, Huila</v>
      </c>
      <c r="E695" s="311">
        <v>41020</v>
      </c>
      <c r="F695" s="312">
        <v>0.3</v>
      </c>
      <c r="G695" s="312">
        <v>0.2</v>
      </c>
      <c r="H695" s="312" t="s">
        <v>322</v>
      </c>
      <c r="I695" s="312">
        <v>0.2</v>
      </c>
      <c r="J695" s="313">
        <v>0.08</v>
      </c>
    </row>
    <row r="696" spans="1:10" ht="17.25" thickBot="1" x14ac:dyDescent="0.35">
      <c r="A696" s="314" t="s">
        <v>980</v>
      </c>
      <c r="B696" s="315">
        <f t="shared" si="30"/>
        <v>0</v>
      </c>
      <c r="C696" s="315" t="str">
        <f t="shared" si="31"/>
        <v>Huila</v>
      </c>
      <c r="D696" s="315" t="str">
        <f t="shared" si="32"/>
        <v>Altamira, Huila</v>
      </c>
      <c r="E696" s="311">
        <v>41026</v>
      </c>
      <c r="F696" s="312">
        <v>0.3</v>
      </c>
      <c r="G696" s="312">
        <v>0.15</v>
      </c>
      <c r="H696" s="312" t="s">
        <v>322</v>
      </c>
      <c r="I696" s="312">
        <v>0.2</v>
      </c>
      <c r="J696" s="313">
        <v>0.08</v>
      </c>
    </row>
    <row r="697" spans="1:10" ht="17.25" thickBot="1" x14ac:dyDescent="0.35">
      <c r="A697" s="314" t="s">
        <v>981</v>
      </c>
      <c r="B697" s="315">
        <f t="shared" si="30"/>
        <v>0</v>
      </c>
      <c r="C697" s="315" t="str">
        <f t="shared" si="31"/>
        <v>Huila</v>
      </c>
      <c r="D697" s="315" t="str">
        <f t="shared" si="32"/>
        <v>Baraya, Huila</v>
      </c>
      <c r="E697" s="311">
        <v>41078</v>
      </c>
      <c r="F697" s="312">
        <v>0.3</v>
      </c>
      <c r="G697" s="312">
        <v>0.25</v>
      </c>
      <c r="H697" s="312" t="s">
        <v>322</v>
      </c>
      <c r="I697" s="312">
        <v>0.19</v>
      </c>
      <c r="J697" s="313">
        <v>0.08</v>
      </c>
    </row>
    <row r="698" spans="1:10" ht="17.25" thickBot="1" x14ac:dyDescent="0.35">
      <c r="A698" s="314" t="s">
        <v>982</v>
      </c>
      <c r="B698" s="315">
        <f t="shared" si="30"/>
        <v>0</v>
      </c>
      <c r="C698" s="315" t="str">
        <f t="shared" si="31"/>
        <v>Huila</v>
      </c>
      <c r="D698" s="315" t="str">
        <f t="shared" si="32"/>
        <v>Campoalegre, Huila</v>
      </c>
      <c r="E698" s="311">
        <v>41132</v>
      </c>
      <c r="F698" s="312">
        <v>0.3</v>
      </c>
      <c r="G698" s="312">
        <v>0.2</v>
      </c>
      <c r="H698" s="312" t="s">
        <v>322</v>
      </c>
      <c r="I698" s="312">
        <v>0.2</v>
      </c>
      <c r="J698" s="313">
        <v>0.08</v>
      </c>
    </row>
    <row r="699" spans="1:10" ht="17.25" thickBot="1" x14ac:dyDescent="0.35">
      <c r="A699" s="314" t="s">
        <v>983</v>
      </c>
      <c r="B699" s="315">
        <f t="shared" si="30"/>
        <v>0</v>
      </c>
      <c r="C699" s="315" t="str">
        <f t="shared" si="31"/>
        <v>Huila</v>
      </c>
      <c r="D699" s="315" t="str">
        <f t="shared" si="32"/>
        <v>Colombia, Huila</v>
      </c>
      <c r="E699" s="311">
        <v>41206</v>
      </c>
      <c r="F699" s="312">
        <v>0.3</v>
      </c>
      <c r="G699" s="312">
        <v>0.25</v>
      </c>
      <c r="H699" s="312" t="s">
        <v>322</v>
      </c>
      <c r="I699" s="312">
        <v>0.19</v>
      </c>
      <c r="J699" s="313">
        <v>0.08</v>
      </c>
    </row>
    <row r="700" spans="1:10" ht="17.25" thickBot="1" x14ac:dyDescent="0.35">
      <c r="A700" s="314" t="s">
        <v>984</v>
      </c>
      <c r="B700" s="315">
        <f t="shared" si="30"/>
        <v>0</v>
      </c>
      <c r="C700" s="315" t="str">
        <f t="shared" si="31"/>
        <v>Huila</v>
      </c>
      <c r="D700" s="315" t="str">
        <f t="shared" si="32"/>
        <v>Elías, Huila</v>
      </c>
      <c r="E700" s="311">
        <v>41244</v>
      </c>
      <c r="F700" s="312">
        <v>0.3</v>
      </c>
      <c r="G700" s="312">
        <v>0.15</v>
      </c>
      <c r="H700" s="312" t="s">
        <v>322</v>
      </c>
      <c r="I700" s="312">
        <v>0.2</v>
      </c>
      <c r="J700" s="313">
        <v>0.08</v>
      </c>
    </row>
    <row r="701" spans="1:10" ht="17.25" thickBot="1" x14ac:dyDescent="0.35">
      <c r="A701" s="314" t="s">
        <v>985</v>
      </c>
      <c r="B701" s="315">
        <f t="shared" si="30"/>
        <v>0</v>
      </c>
      <c r="C701" s="315" t="str">
        <f t="shared" si="31"/>
        <v>Huila</v>
      </c>
      <c r="D701" s="315" t="str">
        <f t="shared" si="32"/>
        <v>Garzón, Huila</v>
      </c>
      <c r="E701" s="311">
        <v>41298</v>
      </c>
      <c r="F701" s="312">
        <v>0.3</v>
      </c>
      <c r="G701" s="312">
        <v>0.15</v>
      </c>
      <c r="H701" s="312" t="s">
        <v>322</v>
      </c>
      <c r="I701" s="312">
        <v>0.2</v>
      </c>
      <c r="J701" s="313">
        <v>7.0000000000000007E-2</v>
      </c>
    </row>
    <row r="702" spans="1:10" ht="17.25" thickBot="1" x14ac:dyDescent="0.35">
      <c r="A702" s="314" t="s">
        <v>986</v>
      </c>
      <c r="B702" s="315">
        <f t="shared" si="30"/>
        <v>0</v>
      </c>
      <c r="C702" s="315" t="str">
        <f t="shared" si="31"/>
        <v>Huila</v>
      </c>
      <c r="D702" s="315" t="str">
        <f t="shared" si="32"/>
        <v>Gigante, Huila</v>
      </c>
      <c r="E702" s="311">
        <v>41306</v>
      </c>
      <c r="F702" s="312">
        <v>0.3</v>
      </c>
      <c r="G702" s="312">
        <v>0.15</v>
      </c>
      <c r="H702" s="312" t="s">
        <v>322</v>
      </c>
      <c r="I702" s="312">
        <v>0.2</v>
      </c>
      <c r="J702" s="313">
        <v>0.08</v>
      </c>
    </row>
    <row r="703" spans="1:10" ht="17.25" thickBot="1" x14ac:dyDescent="0.35">
      <c r="A703" s="314" t="s">
        <v>389</v>
      </c>
      <c r="B703" s="315">
        <f t="shared" si="30"/>
        <v>0</v>
      </c>
      <c r="C703" s="315" t="str">
        <f t="shared" si="31"/>
        <v>Huila</v>
      </c>
      <c r="D703" s="315" t="str">
        <f t="shared" si="32"/>
        <v>Guadalupe, Huila</v>
      </c>
      <c r="E703" s="311">
        <v>41319</v>
      </c>
      <c r="F703" s="312">
        <v>0.3</v>
      </c>
      <c r="G703" s="312">
        <v>0.15</v>
      </c>
      <c r="H703" s="312" t="s">
        <v>322</v>
      </c>
      <c r="I703" s="312">
        <v>0.16</v>
      </c>
      <c r="J703" s="313">
        <v>0.06</v>
      </c>
    </row>
    <row r="704" spans="1:10" ht="17.25" thickBot="1" x14ac:dyDescent="0.35">
      <c r="A704" s="314" t="s">
        <v>987</v>
      </c>
      <c r="B704" s="315">
        <f t="shared" si="30"/>
        <v>0</v>
      </c>
      <c r="C704" s="315" t="str">
        <f t="shared" si="31"/>
        <v>Huila</v>
      </c>
      <c r="D704" s="315" t="str">
        <f t="shared" si="32"/>
        <v>Hobo, Huila</v>
      </c>
      <c r="E704" s="311">
        <v>41349</v>
      </c>
      <c r="F704" s="312">
        <v>0.3</v>
      </c>
      <c r="G704" s="312">
        <v>0.2</v>
      </c>
      <c r="H704" s="312" t="s">
        <v>322</v>
      </c>
      <c r="I704" s="312">
        <v>0.2</v>
      </c>
      <c r="J704" s="313">
        <v>0.08</v>
      </c>
    </row>
    <row r="705" spans="1:10" ht="17.25" thickBot="1" x14ac:dyDescent="0.35">
      <c r="A705" s="314" t="s">
        <v>988</v>
      </c>
      <c r="B705" s="315">
        <f t="shared" si="30"/>
        <v>0</v>
      </c>
      <c r="C705" s="315" t="str">
        <f t="shared" si="31"/>
        <v>Huila</v>
      </c>
      <c r="D705" s="315" t="str">
        <f t="shared" si="32"/>
        <v>Iquira, Huila</v>
      </c>
      <c r="E705" s="311">
        <v>41357</v>
      </c>
      <c r="F705" s="312">
        <v>0.25</v>
      </c>
      <c r="G705" s="312">
        <v>0.2</v>
      </c>
      <c r="H705" s="312" t="s">
        <v>322</v>
      </c>
      <c r="I705" s="312">
        <v>0.16</v>
      </c>
      <c r="J705" s="313">
        <v>0.06</v>
      </c>
    </row>
    <row r="706" spans="1:10" ht="17.25" thickBot="1" x14ac:dyDescent="0.35">
      <c r="A706" s="314" t="s">
        <v>989</v>
      </c>
      <c r="B706" s="315">
        <f t="shared" si="30"/>
        <v>0</v>
      </c>
      <c r="C706" s="315" t="str">
        <f t="shared" si="31"/>
        <v>Huila</v>
      </c>
      <c r="D706" s="315" t="str">
        <f t="shared" si="32"/>
        <v>Isnos, Huila</v>
      </c>
      <c r="E706" s="311">
        <v>41359</v>
      </c>
      <c r="F706" s="312">
        <v>0.25</v>
      </c>
      <c r="G706" s="312">
        <v>0.2</v>
      </c>
      <c r="H706" s="312" t="s">
        <v>322</v>
      </c>
      <c r="I706" s="312">
        <v>0.19</v>
      </c>
      <c r="J706" s="313">
        <v>7.0000000000000007E-2</v>
      </c>
    </row>
    <row r="707" spans="1:10" ht="17.25" thickBot="1" x14ac:dyDescent="0.35">
      <c r="A707" s="314" t="s">
        <v>990</v>
      </c>
      <c r="B707" s="315">
        <f t="shared" ref="B707:B770" si="33">IFERROR(FIND("Departamento",A707),0)</f>
        <v>0</v>
      </c>
      <c r="C707" s="315" t="str">
        <f t="shared" ref="C707:C770" si="34">IF(B707=1,IF(ISERROR(FIND("del",A707)),MID(A707,17,30),MID(A707,18,30)),C706)</f>
        <v>Huila</v>
      </c>
      <c r="D707" s="315" t="str">
        <f t="shared" ref="D707:D770" si="35">IF(B707=1,"",CONCATENATE(A707,", ",C707))</f>
        <v>La Argentina, Huila</v>
      </c>
      <c r="E707" s="311">
        <v>41378</v>
      </c>
      <c r="F707" s="312">
        <v>0.25</v>
      </c>
      <c r="G707" s="312">
        <v>0.15</v>
      </c>
      <c r="H707" s="312" t="s">
        <v>322</v>
      </c>
      <c r="I707" s="312">
        <v>0.19</v>
      </c>
      <c r="J707" s="313">
        <v>7.0000000000000007E-2</v>
      </c>
    </row>
    <row r="708" spans="1:10" ht="17.25" thickBot="1" x14ac:dyDescent="0.35">
      <c r="A708" s="314" t="s">
        <v>991</v>
      </c>
      <c r="B708" s="315">
        <f t="shared" si="33"/>
        <v>0</v>
      </c>
      <c r="C708" s="315" t="str">
        <f t="shared" si="34"/>
        <v>Huila</v>
      </c>
      <c r="D708" s="315" t="str">
        <f t="shared" si="35"/>
        <v>La Plata, Huila</v>
      </c>
      <c r="E708" s="311">
        <v>41396</v>
      </c>
      <c r="F708" s="312">
        <v>0.25</v>
      </c>
      <c r="G708" s="312">
        <v>0.15</v>
      </c>
      <c r="H708" s="312" t="s">
        <v>322</v>
      </c>
      <c r="I708" s="312">
        <v>0.19</v>
      </c>
      <c r="J708" s="313">
        <v>7.0000000000000007E-2</v>
      </c>
    </row>
    <row r="709" spans="1:10" ht="17.25" thickBot="1" x14ac:dyDescent="0.35">
      <c r="A709" s="314" t="s">
        <v>992</v>
      </c>
      <c r="B709" s="315">
        <f t="shared" si="33"/>
        <v>0</v>
      </c>
      <c r="C709" s="315" t="str">
        <f t="shared" si="34"/>
        <v>Huila</v>
      </c>
      <c r="D709" s="315" t="str">
        <f t="shared" si="35"/>
        <v>Nátaga, Huila</v>
      </c>
      <c r="E709" s="311">
        <v>41483</v>
      </c>
      <c r="F709" s="312">
        <v>0.25</v>
      </c>
      <c r="G709" s="312">
        <v>0.2</v>
      </c>
      <c r="H709" s="312" t="s">
        <v>322</v>
      </c>
      <c r="I709" s="312">
        <v>0.19</v>
      </c>
      <c r="J709" s="313">
        <v>7.0000000000000007E-2</v>
      </c>
    </row>
    <row r="710" spans="1:10" ht="17.25" thickBot="1" x14ac:dyDescent="0.35">
      <c r="A710" s="314" t="s">
        <v>993</v>
      </c>
      <c r="B710" s="315">
        <f t="shared" si="33"/>
        <v>0</v>
      </c>
      <c r="C710" s="315" t="str">
        <f t="shared" si="34"/>
        <v>Huila</v>
      </c>
      <c r="D710" s="315" t="str">
        <f t="shared" si="35"/>
        <v>Oporapa, Huila</v>
      </c>
      <c r="E710" s="311">
        <v>41503</v>
      </c>
      <c r="F710" s="312">
        <v>0.3</v>
      </c>
      <c r="G710" s="312">
        <v>0.15</v>
      </c>
      <c r="H710" s="312" t="s">
        <v>322</v>
      </c>
      <c r="I710" s="312">
        <v>0.2</v>
      </c>
      <c r="J710" s="313">
        <v>0.08</v>
      </c>
    </row>
    <row r="711" spans="1:10" ht="17.25" thickBot="1" x14ac:dyDescent="0.35">
      <c r="A711" s="314" t="s">
        <v>994</v>
      </c>
      <c r="B711" s="315">
        <f t="shared" si="33"/>
        <v>0</v>
      </c>
      <c r="C711" s="315" t="str">
        <f t="shared" si="34"/>
        <v>Huila</v>
      </c>
      <c r="D711" s="315" t="str">
        <f t="shared" si="35"/>
        <v>Paicol, Huila</v>
      </c>
      <c r="E711" s="311">
        <v>41518</v>
      </c>
      <c r="F711" s="312">
        <v>0.25</v>
      </c>
      <c r="G711" s="312">
        <v>0.2</v>
      </c>
      <c r="H711" s="312" t="s">
        <v>322</v>
      </c>
      <c r="I711" s="312">
        <v>0.2</v>
      </c>
      <c r="J711" s="313">
        <v>0.08</v>
      </c>
    </row>
    <row r="712" spans="1:10" ht="17.25" thickBot="1" x14ac:dyDescent="0.35">
      <c r="A712" s="314" t="s">
        <v>995</v>
      </c>
      <c r="B712" s="315">
        <f t="shared" si="33"/>
        <v>0</v>
      </c>
      <c r="C712" s="315" t="str">
        <f t="shared" si="34"/>
        <v>Huila</v>
      </c>
      <c r="D712" s="315" t="str">
        <f t="shared" si="35"/>
        <v>Palermo, Huila</v>
      </c>
      <c r="E712" s="311">
        <v>41524</v>
      </c>
      <c r="F712" s="312">
        <v>0.25</v>
      </c>
      <c r="G712" s="312">
        <v>0.25</v>
      </c>
      <c r="H712" s="312" t="s">
        <v>322</v>
      </c>
      <c r="I712" s="312">
        <v>0.18</v>
      </c>
      <c r="J712" s="313">
        <v>7.0000000000000007E-2</v>
      </c>
    </row>
    <row r="713" spans="1:10" ht="17.25" thickBot="1" x14ac:dyDescent="0.35">
      <c r="A713" s="314" t="s">
        <v>674</v>
      </c>
      <c r="B713" s="315">
        <f t="shared" si="33"/>
        <v>0</v>
      </c>
      <c r="C713" s="315" t="str">
        <f t="shared" si="34"/>
        <v>Huila</v>
      </c>
      <c r="D713" s="315" t="str">
        <f t="shared" si="35"/>
        <v>Palestina, Huila</v>
      </c>
      <c r="E713" s="311">
        <v>41530</v>
      </c>
      <c r="F713" s="312">
        <v>0.3</v>
      </c>
      <c r="G713" s="312">
        <v>0.2</v>
      </c>
      <c r="H713" s="312" t="s">
        <v>322</v>
      </c>
      <c r="I713" s="312">
        <v>0.2</v>
      </c>
      <c r="J713" s="313">
        <v>0.08</v>
      </c>
    </row>
    <row r="714" spans="1:10" ht="17.25" thickBot="1" x14ac:dyDescent="0.35">
      <c r="A714" s="314" t="s">
        <v>996</v>
      </c>
      <c r="B714" s="315">
        <f t="shared" si="33"/>
        <v>0</v>
      </c>
      <c r="C714" s="315" t="str">
        <f t="shared" si="34"/>
        <v>Huila</v>
      </c>
      <c r="D714" s="315" t="str">
        <f t="shared" si="35"/>
        <v>Pital, Huila</v>
      </c>
      <c r="E714" s="311">
        <v>41548</v>
      </c>
      <c r="F714" s="312">
        <v>0.3</v>
      </c>
      <c r="G714" s="312">
        <v>0.15</v>
      </c>
      <c r="H714" s="312" t="s">
        <v>322</v>
      </c>
      <c r="I714" s="312">
        <v>0.2</v>
      </c>
      <c r="J714" s="313">
        <v>0.08</v>
      </c>
    </row>
    <row r="715" spans="1:10" ht="17.25" thickBot="1" x14ac:dyDescent="0.35">
      <c r="A715" s="314" t="s">
        <v>997</v>
      </c>
      <c r="B715" s="315">
        <f t="shared" si="33"/>
        <v>0</v>
      </c>
      <c r="C715" s="315" t="str">
        <f t="shared" si="34"/>
        <v>Huila</v>
      </c>
      <c r="D715" s="315" t="str">
        <f t="shared" si="35"/>
        <v>Pitalito, Huila</v>
      </c>
      <c r="E715" s="311">
        <v>41551</v>
      </c>
      <c r="F715" s="312">
        <v>0.3</v>
      </c>
      <c r="G715" s="312">
        <v>0.15</v>
      </c>
      <c r="H715" s="312" t="s">
        <v>322</v>
      </c>
      <c r="I715" s="312">
        <v>0.2</v>
      </c>
      <c r="J715" s="313">
        <v>0.08</v>
      </c>
    </row>
    <row r="716" spans="1:10" ht="17.25" thickBot="1" x14ac:dyDescent="0.35">
      <c r="A716" s="314" t="s">
        <v>998</v>
      </c>
      <c r="B716" s="315">
        <f t="shared" si="33"/>
        <v>0</v>
      </c>
      <c r="C716" s="315" t="str">
        <f t="shared" si="34"/>
        <v>Huila</v>
      </c>
      <c r="D716" s="315" t="str">
        <f t="shared" si="35"/>
        <v>Rivera, Huila</v>
      </c>
      <c r="E716" s="311">
        <v>41615</v>
      </c>
      <c r="F716" s="312">
        <v>0.3</v>
      </c>
      <c r="G716" s="312">
        <v>0.2</v>
      </c>
      <c r="H716" s="312" t="s">
        <v>322</v>
      </c>
      <c r="I716" s="312">
        <v>0.2</v>
      </c>
      <c r="J716" s="313">
        <v>0.08</v>
      </c>
    </row>
    <row r="717" spans="1:10" ht="17.25" thickBot="1" x14ac:dyDescent="0.35">
      <c r="A717" s="314" t="s">
        <v>999</v>
      </c>
      <c r="B717" s="315">
        <f t="shared" si="33"/>
        <v>0</v>
      </c>
      <c r="C717" s="315" t="str">
        <f t="shared" si="34"/>
        <v>Huila</v>
      </c>
      <c r="D717" s="315" t="str">
        <f t="shared" si="35"/>
        <v>Saladoblanco, Huila</v>
      </c>
      <c r="E717" s="311">
        <v>41660</v>
      </c>
      <c r="F717" s="312">
        <v>0.25</v>
      </c>
      <c r="G717" s="312">
        <v>0.2</v>
      </c>
      <c r="H717" s="312" t="s">
        <v>322</v>
      </c>
      <c r="I717" s="312">
        <v>0.2</v>
      </c>
      <c r="J717" s="313">
        <v>7.0000000000000007E-2</v>
      </c>
    </row>
    <row r="718" spans="1:10" ht="17.25" thickBot="1" x14ac:dyDescent="0.35">
      <c r="A718" s="314" t="s">
        <v>1000</v>
      </c>
      <c r="B718" s="315">
        <f t="shared" si="33"/>
        <v>0</v>
      </c>
      <c r="C718" s="315" t="str">
        <f t="shared" si="34"/>
        <v>Huila</v>
      </c>
      <c r="D718" s="315" t="str">
        <f t="shared" si="35"/>
        <v>San Agustín, Huila</v>
      </c>
      <c r="E718" s="311">
        <v>41668</v>
      </c>
      <c r="F718" s="312">
        <v>0.25</v>
      </c>
      <c r="G718" s="312">
        <v>0.2</v>
      </c>
      <c r="H718" s="312" t="s">
        <v>322</v>
      </c>
      <c r="I718" s="312">
        <v>0.19</v>
      </c>
      <c r="J718" s="313">
        <v>0.08</v>
      </c>
    </row>
    <row r="719" spans="1:10" ht="17.25" thickBot="1" x14ac:dyDescent="0.35">
      <c r="A719" s="314" t="s">
        <v>621</v>
      </c>
      <c r="B719" s="315">
        <f t="shared" si="33"/>
        <v>0</v>
      </c>
      <c r="C719" s="315" t="str">
        <f t="shared" si="34"/>
        <v>Huila</v>
      </c>
      <c r="D719" s="315" t="str">
        <f t="shared" si="35"/>
        <v>Santa María, Huila</v>
      </c>
      <c r="E719" s="311">
        <v>41676</v>
      </c>
      <c r="F719" s="312">
        <v>0.25</v>
      </c>
      <c r="G719" s="312">
        <v>0.2</v>
      </c>
      <c r="H719" s="312" t="s">
        <v>322</v>
      </c>
      <c r="I719" s="312">
        <v>0.14000000000000001</v>
      </c>
      <c r="J719" s="313">
        <v>0.05</v>
      </c>
    </row>
    <row r="720" spans="1:10" ht="17.25" thickBot="1" x14ac:dyDescent="0.35">
      <c r="A720" s="314" t="s">
        <v>1001</v>
      </c>
      <c r="B720" s="315">
        <f t="shared" si="33"/>
        <v>0</v>
      </c>
      <c r="C720" s="315" t="str">
        <f t="shared" si="34"/>
        <v>Huila</v>
      </c>
      <c r="D720" s="315" t="str">
        <f t="shared" si="35"/>
        <v>Suazá, Huila</v>
      </c>
      <c r="E720" s="311">
        <v>41770</v>
      </c>
      <c r="F720" s="312">
        <v>0.3</v>
      </c>
      <c r="G720" s="312">
        <v>0.15</v>
      </c>
      <c r="H720" s="312" t="s">
        <v>322</v>
      </c>
      <c r="I720" s="312">
        <v>0.16</v>
      </c>
      <c r="J720" s="313">
        <v>0.06</v>
      </c>
    </row>
    <row r="721" spans="1:10" ht="17.25" thickBot="1" x14ac:dyDescent="0.35">
      <c r="A721" s="314" t="s">
        <v>1002</v>
      </c>
      <c r="B721" s="315">
        <f t="shared" si="33"/>
        <v>0</v>
      </c>
      <c r="C721" s="315" t="str">
        <f t="shared" si="34"/>
        <v>Huila</v>
      </c>
      <c r="D721" s="315" t="str">
        <f t="shared" si="35"/>
        <v>Tarquí, Huila</v>
      </c>
      <c r="E721" s="311">
        <v>41791</v>
      </c>
      <c r="F721" s="312">
        <v>0.3</v>
      </c>
      <c r="G721" s="312">
        <v>0.15</v>
      </c>
      <c r="H721" s="312" t="s">
        <v>322</v>
      </c>
      <c r="I721" s="312">
        <v>0.2</v>
      </c>
      <c r="J721" s="313">
        <v>0.08</v>
      </c>
    </row>
    <row r="722" spans="1:10" ht="17.25" thickBot="1" x14ac:dyDescent="0.35">
      <c r="A722" s="314" t="s">
        <v>1003</v>
      </c>
      <c r="B722" s="315">
        <f t="shared" si="33"/>
        <v>0</v>
      </c>
      <c r="C722" s="315" t="str">
        <f t="shared" si="34"/>
        <v>Huila</v>
      </c>
      <c r="D722" s="315" t="str">
        <f t="shared" si="35"/>
        <v>Tello, Huila</v>
      </c>
      <c r="E722" s="311">
        <v>41799</v>
      </c>
      <c r="F722" s="312">
        <v>0.3</v>
      </c>
      <c r="G722" s="312">
        <v>0.25</v>
      </c>
      <c r="H722" s="312" t="s">
        <v>322</v>
      </c>
      <c r="I722" s="312">
        <v>0.19</v>
      </c>
      <c r="J722" s="313">
        <v>0.08</v>
      </c>
    </row>
    <row r="723" spans="1:10" ht="17.25" thickBot="1" x14ac:dyDescent="0.35">
      <c r="A723" s="314" t="s">
        <v>1004</v>
      </c>
      <c r="B723" s="315">
        <f t="shared" si="33"/>
        <v>0</v>
      </c>
      <c r="C723" s="315" t="str">
        <f t="shared" si="34"/>
        <v>Huila</v>
      </c>
      <c r="D723" s="315" t="str">
        <f t="shared" si="35"/>
        <v>Teruel, Huila</v>
      </c>
      <c r="E723" s="311">
        <v>41801</v>
      </c>
      <c r="F723" s="312">
        <v>0.25</v>
      </c>
      <c r="G723" s="312">
        <v>0.2</v>
      </c>
      <c r="H723" s="312" t="s">
        <v>322</v>
      </c>
      <c r="I723" s="312">
        <v>0.19</v>
      </c>
      <c r="J723" s="313">
        <v>7.0000000000000007E-2</v>
      </c>
    </row>
    <row r="724" spans="1:10" ht="17.25" thickBot="1" x14ac:dyDescent="0.35">
      <c r="A724" s="314" t="s">
        <v>1005</v>
      </c>
      <c r="B724" s="315">
        <f t="shared" si="33"/>
        <v>0</v>
      </c>
      <c r="C724" s="315" t="str">
        <f t="shared" si="34"/>
        <v>Huila</v>
      </c>
      <c r="D724" s="315" t="str">
        <f t="shared" si="35"/>
        <v>Tesalia, Huila</v>
      </c>
      <c r="E724" s="311">
        <v>41797</v>
      </c>
      <c r="F724" s="312">
        <v>0.25</v>
      </c>
      <c r="G724" s="312">
        <v>0.2</v>
      </c>
      <c r="H724" s="312" t="s">
        <v>322</v>
      </c>
      <c r="I724" s="312">
        <v>0.19</v>
      </c>
      <c r="J724" s="313">
        <v>7.0000000000000007E-2</v>
      </c>
    </row>
    <row r="725" spans="1:10" ht="17.25" thickBot="1" x14ac:dyDescent="0.35">
      <c r="A725" s="314" t="s">
        <v>1006</v>
      </c>
      <c r="B725" s="315">
        <f t="shared" si="33"/>
        <v>0</v>
      </c>
      <c r="C725" s="315" t="str">
        <f t="shared" si="34"/>
        <v>Huila</v>
      </c>
      <c r="D725" s="315" t="str">
        <f t="shared" si="35"/>
        <v>Timaná, Huila</v>
      </c>
      <c r="E725" s="311">
        <v>41807</v>
      </c>
      <c r="F725" s="312">
        <v>0.3</v>
      </c>
      <c r="G725" s="312">
        <v>0.15</v>
      </c>
      <c r="H725" s="312" t="s">
        <v>322</v>
      </c>
      <c r="I725" s="312">
        <v>0.2</v>
      </c>
      <c r="J725" s="313">
        <v>0.08</v>
      </c>
    </row>
    <row r="726" spans="1:10" ht="17.25" thickBot="1" x14ac:dyDescent="0.35">
      <c r="A726" s="314" t="s">
        <v>1007</v>
      </c>
      <c r="B726" s="315">
        <f t="shared" si="33"/>
        <v>0</v>
      </c>
      <c r="C726" s="315" t="str">
        <f t="shared" si="34"/>
        <v>Huila</v>
      </c>
      <c r="D726" s="315" t="str">
        <f t="shared" si="35"/>
        <v>Villavieja, Huila</v>
      </c>
      <c r="E726" s="311">
        <v>41872</v>
      </c>
      <c r="F726" s="312">
        <v>0.25</v>
      </c>
      <c r="G726" s="312">
        <v>0.25</v>
      </c>
      <c r="H726" s="312" t="s">
        <v>322</v>
      </c>
      <c r="I726" s="312">
        <v>0.19</v>
      </c>
      <c r="J726" s="313">
        <v>7.0000000000000007E-2</v>
      </c>
    </row>
    <row r="727" spans="1:10" ht="17.25" thickBot="1" x14ac:dyDescent="0.35">
      <c r="A727" s="314" t="s">
        <v>1008</v>
      </c>
      <c r="B727" s="315">
        <f t="shared" si="33"/>
        <v>0</v>
      </c>
      <c r="C727" s="315" t="str">
        <f t="shared" si="34"/>
        <v>Huila</v>
      </c>
      <c r="D727" s="315" t="str">
        <f t="shared" si="35"/>
        <v>Yaguará, Huila</v>
      </c>
      <c r="E727" s="311">
        <v>41885</v>
      </c>
      <c r="F727" s="312">
        <v>0.25</v>
      </c>
      <c r="G727" s="312">
        <v>0.2</v>
      </c>
      <c r="H727" s="312" t="s">
        <v>322</v>
      </c>
      <c r="I727" s="312">
        <v>0.19</v>
      </c>
      <c r="J727" s="313">
        <v>0.08</v>
      </c>
    </row>
    <row r="728" spans="1:10" ht="17.25" thickBot="1" x14ac:dyDescent="0.35">
      <c r="A728" s="299" t="s">
        <v>1009</v>
      </c>
      <c r="B728" s="300">
        <f t="shared" si="33"/>
        <v>1</v>
      </c>
      <c r="C728" s="300" t="str">
        <f t="shared" si="34"/>
        <v>Magdalena</v>
      </c>
      <c r="D728" s="300" t="str">
        <f t="shared" si="35"/>
        <v/>
      </c>
      <c r="E728" s="301"/>
      <c r="F728" s="302"/>
      <c r="G728" s="302"/>
      <c r="H728" s="302"/>
      <c r="I728" s="302"/>
      <c r="J728" s="303"/>
    </row>
    <row r="729" spans="1:10" ht="17.25" thickBot="1" x14ac:dyDescent="0.35">
      <c r="A729" s="309" t="s">
        <v>1010</v>
      </c>
      <c r="B729" s="310">
        <f t="shared" si="33"/>
        <v>0</v>
      </c>
      <c r="C729" s="310" t="str">
        <f t="shared" si="34"/>
        <v>Magdalena</v>
      </c>
      <c r="D729" s="310" t="str">
        <f t="shared" si="35"/>
        <v>Santa Marta, Magdalena</v>
      </c>
      <c r="E729" s="311">
        <v>47001</v>
      </c>
      <c r="F729" s="312">
        <v>0.15</v>
      </c>
      <c r="G729" s="312">
        <v>0.1</v>
      </c>
      <c r="H729" s="312" t="s">
        <v>40</v>
      </c>
      <c r="I729" s="312">
        <v>0.1</v>
      </c>
      <c r="J729" s="313">
        <v>0.04</v>
      </c>
    </row>
    <row r="730" spans="1:10" ht="17.25" thickBot="1" x14ac:dyDescent="0.35">
      <c r="A730" s="314" t="s">
        <v>1011</v>
      </c>
      <c r="B730" s="315">
        <f t="shared" si="33"/>
        <v>0</v>
      </c>
      <c r="C730" s="315" t="str">
        <f t="shared" si="34"/>
        <v>Magdalena</v>
      </c>
      <c r="D730" s="315" t="str">
        <f t="shared" si="35"/>
        <v>Algarrobo, Magdalena</v>
      </c>
      <c r="E730" s="311">
        <v>47030</v>
      </c>
      <c r="F730" s="312">
        <v>0.1</v>
      </c>
      <c r="G730" s="312">
        <v>0.1</v>
      </c>
      <c r="H730" s="312" t="s">
        <v>295</v>
      </c>
      <c r="I730" s="312">
        <v>0.05</v>
      </c>
      <c r="J730" s="313">
        <v>0.02</v>
      </c>
    </row>
    <row r="731" spans="1:10" ht="17.25" thickBot="1" x14ac:dyDescent="0.35">
      <c r="A731" s="314" t="s">
        <v>1012</v>
      </c>
      <c r="B731" s="315">
        <f t="shared" si="33"/>
        <v>0</v>
      </c>
      <c r="C731" s="315" t="str">
        <f t="shared" si="34"/>
        <v>Magdalena</v>
      </c>
      <c r="D731" s="315" t="str">
        <f t="shared" si="35"/>
        <v>Aracataca, Magdalena</v>
      </c>
      <c r="E731" s="311">
        <v>47053</v>
      </c>
      <c r="F731" s="312">
        <v>0.1</v>
      </c>
      <c r="G731" s="312">
        <v>0.1</v>
      </c>
      <c r="H731" s="312" t="s">
        <v>295</v>
      </c>
      <c r="I731" s="312">
        <v>0.04</v>
      </c>
      <c r="J731" s="313">
        <v>0.02</v>
      </c>
    </row>
    <row r="732" spans="1:10" ht="17.25" thickBot="1" x14ac:dyDescent="0.35">
      <c r="A732" s="314" t="s">
        <v>1013</v>
      </c>
      <c r="B732" s="315">
        <f t="shared" si="33"/>
        <v>0</v>
      </c>
      <c r="C732" s="315" t="str">
        <f t="shared" si="34"/>
        <v>Magdalena</v>
      </c>
      <c r="D732" s="315" t="str">
        <f t="shared" si="35"/>
        <v>Ariguaní, Magdalena</v>
      </c>
      <c r="E732" s="311">
        <v>47058</v>
      </c>
      <c r="F732" s="312">
        <v>0.1</v>
      </c>
      <c r="G732" s="312">
        <v>0.1</v>
      </c>
      <c r="H732" s="312" t="s">
        <v>295</v>
      </c>
      <c r="I732" s="312">
        <v>0.04</v>
      </c>
      <c r="J732" s="313">
        <v>0.02</v>
      </c>
    </row>
    <row r="733" spans="1:10" ht="17.25" thickBot="1" x14ac:dyDescent="0.35">
      <c r="A733" s="314" t="s">
        <v>1014</v>
      </c>
      <c r="B733" s="315">
        <f t="shared" si="33"/>
        <v>0</v>
      </c>
      <c r="C733" s="315" t="str">
        <f t="shared" si="34"/>
        <v>Magdalena</v>
      </c>
      <c r="D733" s="315" t="str">
        <f t="shared" si="35"/>
        <v>Cerro San Antonio, Magdalena</v>
      </c>
      <c r="E733" s="311">
        <v>47161</v>
      </c>
      <c r="F733" s="312">
        <v>0.1</v>
      </c>
      <c r="G733" s="312">
        <v>0.1</v>
      </c>
      <c r="H733" s="312" t="s">
        <v>295</v>
      </c>
      <c r="I733" s="312">
        <v>0.04</v>
      </c>
      <c r="J733" s="313">
        <v>0.02</v>
      </c>
    </row>
    <row r="734" spans="1:10" ht="17.25" thickBot="1" x14ac:dyDescent="0.35">
      <c r="A734" s="314" t="s">
        <v>1015</v>
      </c>
      <c r="B734" s="315">
        <f t="shared" si="33"/>
        <v>0</v>
      </c>
      <c r="C734" s="315" t="str">
        <f t="shared" si="34"/>
        <v>Magdalena</v>
      </c>
      <c r="D734" s="315" t="str">
        <f t="shared" si="35"/>
        <v>Chivolo, Magdalena</v>
      </c>
      <c r="E734" s="311">
        <v>47170</v>
      </c>
      <c r="F734" s="312">
        <v>0.1</v>
      </c>
      <c r="G734" s="312">
        <v>0.1</v>
      </c>
      <c r="H734" s="312" t="s">
        <v>295</v>
      </c>
      <c r="I734" s="312">
        <v>0.04</v>
      </c>
      <c r="J734" s="313">
        <v>0.02</v>
      </c>
    </row>
    <row r="735" spans="1:10" ht="17.25" thickBot="1" x14ac:dyDescent="0.35">
      <c r="A735" s="314" t="s">
        <v>1016</v>
      </c>
      <c r="B735" s="315">
        <f t="shared" si="33"/>
        <v>0</v>
      </c>
      <c r="C735" s="315" t="str">
        <f t="shared" si="34"/>
        <v>Magdalena</v>
      </c>
      <c r="D735" s="315" t="str">
        <f t="shared" si="35"/>
        <v>Ciénaga, Magdalena</v>
      </c>
      <c r="E735" s="311">
        <v>47189</v>
      </c>
      <c r="F735" s="312">
        <v>0.1</v>
      </c>
      <c r="G735" s="312">
        <v>0.1</v>
      </c>
      <c r="H735" s="312" t="s">
        <v>295</v>
      </c>
      <c r="I735" s="312">
        <v>0.06</v>
      </c>
      <c r="J735" s="313">
        <v>0.02</v>
      </c>
    </row>
    <row r="736" spans="1:10" ht="17.25" thickBot="1" x14ac:dyDescent="0.35">
      <c r="A736" s="314" t="s">
        <v>375</v>
      </c>
      <c r="B736" s="315">
        <f t="shared" si="33"/>
        <v>0</v>
      </c>
      <c r="C736" s="315" t="str">
        <f t="shared" si="34"/>
        <v>Magdalena</v>
      </c>
      <c r="D736" s="315" t="str">
        <f t="shared" si="35"/>
        <v>Concordia, Magdalena</v>
      </c>
      <c r="E736" s="311">
        <v>47205</v>
      </c>
      <c r="F736" s="312">
        <v>0.1</v>
      </c>
      <c r="G736" s="312">
        <v>0.1</v>
      </c>
      <c r="H736" s="312" t="s">
        <v>295</v>
      </c>
      <c r="I736" s="312">
        <v>0.04</v>
      </c>
      <c r="J736" s="313">
        <v>0.02</v>
      </c>
    </row>
    <row r="737" spans="1:10" ht="17.25" thickBot="1" x14ac:dyDescent="0.35">
      <c r="A737" s="314" t="s">
        <v>1017</v>
      </c>
      <c r="B737" s="315">
        <f t="shared" si="33"/>
        <v>0</v>
      </c>
      <c r="C737" s="315" t="str">
        <f t="shared" si="34"/>
        <v>Magdalena</v>
      </c>
      <c r="D737" s="315" t="str">
        <f t="shared" si="35"/>
        <v>El Banco, Magdalena</v>
      </c>
      <c r="E737" s="311">
        <v>47245</v>
      </c>
      <c r="F737" s="312">
        <v>0.1</v>
      </c>
      <c r="G737" s="312">
        <v>0.1</v>
      </c>
      <c r="H737" s="312" t="s">
        <v>295</v>
      </c>
      <c r="I737" s="312">
        <v>0.04</v>
      </c>
      <c r="J737" s="313">
        <v>0.02</v>
      </c>
    </row>
    <row r="738" spans="1:10" ht="17.25" thickBot="1" x14ac:dyDescent="0.35">
      <c r="A738" s="314" t="s">
        <v>1018</v>
      </c>
      <c r="B738" s="315">
        <f t="shared" si="33"/>
        <v>0</v>
      </c>
      <c r="C738" s="315" t="str">
        <f t="shared" si="34"/>
        <v>Magdalena</v>
      </c>
      <c r="D738" s="315" t="str">
        <f t="shared" si="35"/>
        <v>El Piñon, Magdalena</v>
      </c>
      <c r="E738" s="311">
        <v>47258</v>
      </c>
      <c r="F738" s="312">
        <v>0.1</v>
      </c>
      <c r="G738" s="312">
        <v>0.1</v>
      </c>
      <c r="H738" s="312" t="s">
        <v>295</v>
      </c>
      <c r="I738" s="312">
        <v>0.04</v>
      </c>
      <c r="J738" s="313">
        <v>0.02</v>
      </c>
    </row>
    <row r="739" spans="1:10" ht="17.25" thickBot="1" x14ac:dyDescent="0.35">
      <c r="A739" s="314" t="s">
        <v>1019</v>
      </c>
      <c r="B739" s="315">
        <f t="shared" si="33"/>
        <v>0</v>
      </c>
      <c r="C739" s="315" t="str">
        <f t="shared" si="34"/>
        <v>Magdalena</v>
      </c>
      <c r="D739" s="315" t="str">
        <f t="shared" si="35"/>
        <v>El Reten, Magdalena</v>
      </c>
      <c r="E739" s="311">
        <v>47268</v>
      </c>
      <c r="F739" s="312">
        <v>0.1</v>
      </c>
      <c r="G739" s="312">
        <v>0.1</v>
      </c>
      <c r="H739" s="312" t="s">
        <v>295</v>
      </c>
      <c r="I739" s="312">
        <v>0.04</v>
      </c>
      <c r="J739" s="313">
        <v>0.02</v>
      </c>
    </row>
    <row r="740" spans="1:10" ht="17.25" thickBot="1" x14ac:dyDescent="0.35">
      <c r="A740" s="314" t="s">
        <v>1020</v>
      </c>
      <c r="B740" s="315">
        <f t="shared" si="33"/>
        <v>0</v>
      </c>
      <c r="C740" s="315" t="str">
        <f t="shared" si="34"/>
        <v>Magdalena</v>
      </c>
      <c r="D740" s="315" t="str">
        <f t="shared" si="35"/>
        <v>Fundación, Magdalena</v>
      </c>
      <c r="E740" s="311">
        <v>47288</v>
      </c>
      <c r="F740" s="312">
        <v>0.1</v>
      </c>
      <c r="G740" s="312">
        <v>0.1</v>
      </c>
      <c r="H740" s="312" t="s">
        <v>295</v>
      </c>
      <c r="I740" s="312">
        <v>0.05</v>
      </c>
      <c r="J740" s="313">
        <v>0.02</v>
      </c>
    </row>
    <row r="741" spans="1:10" ht="17.25" thickBot="1" x14ac:dyDescent="0.35">
      <c r="A741" s="314" t="s">
        <v>1021</v>
      </c>
      <c r="B741" s="315">
        <f t="shared" si="33"/>
        <v>0</v>
      </c>
      <c r="C741" s="315" t="str">
        <f t="shared" si="34"/>
        <v>Magdalena</v>
      </c>
      <c r="D741" s="315" t="str">
        <f t="shared" si="35"/>
        <v>Guamal, Magdalena</v>
      </c>
      <c r="E741" s="311">
        <v>47318</v>
      </c>
      <c r="F741" s="312">
        <v>0.1</v>
      </c>
      <c r="G741" s="312">
        <v>0.1</v>
      </c>
      <c r="H741" s="312" t="s">
        <v>295</v>
      </c>
      <c r="I741" s="312">
        <v>0.04</v>
      </c>
      <c r="J741" s="313">
        <v>0.02</v>
      </c>
    </row>
    <row r="742" spans="1:10" ht="17.25" thickBot="1" x14ac:dyDescent="0.35">
      <c r="A742" s="314" t="s">
        <v>1022</v>
      </c>
      <c r="B742" s="315">
        <f t="shared" si="33"/>
        <v>0</v>
      </c>
      <c r="C742" s="315" t="str">
        <f t="shared" si="34"/>
        <v>Magdalena</v>
      </c>
      <c r="D742" s="315" t="str">
        <f t="shared" si="35"/>
        <v>Nueva Granada, Magdalena</v>
      </c>
      <c r="E742" s="311">
        <v>47460</v>
      </c>
      <c r="F742" s="312">
        <v>0.1</v>
      </c>
      <c r="G742" s="312">
        <v>0.1</v>
      </c>
      <c r="H742" s="312" t="s">
        <v>295</v>
      </c>
      <c r="I742" s="312">
        <v>0.04</v>
      </c>
      <c r="J742" s="313">
        <v>0.02</v>
      </c>
    </row>
    <row r="743" spans="1:10" ht="17.25" thickBot="1" x14ac:dyDescent="0.35">
      <c r="A743" s="314" t="s">
        <v>1023</v>
      </c>
      <c r="B743" s="315">
        <f t="shared" si="33"/>
        <v>0</v>
      </c>
      <c r="C743" s="315" t="str">
        <f t="shared" si="34"/>
        <v>Magdalena</v>
      </c>
      <c r="D743" s="315" t="str">
        <f t="shared" si="35"/>
        <v>Pedraza, Magdalena</v>
      </c>
      <c r="E743" s="311">
        <v>47541</v>
      </c>
      <c r="F743" s="312">
        <v>0.1</v>
      </c>
      <c r="G743" s="312">
        <v>0.1</v>
      </c>
      <c r="H743" s="312" t="s">
        <v>295</v>
      </c>
      <c r="I743" s="312">
        <v>0.04</v>
      </c>
      <c r="J743" s="313">
        <v>0.02</v>
      </c>
    </row>
    <row r="744" spans="1:10" ht="17.25" thickBot="1" x14ac:dyDescent="0.35">
      <c r="A744" s="314" t="s">
        <v>1024</v>
      </c>
      <c r="B744" s="315">
        <f t="shared" si="33"/>
        <v>0</v>
      </c>
      <c r="C744" s="315" t="str">
        <f t="shared" si="34"/>
        <v>Magdalena</v>
      </c>
      <c r="D744" s="315" t="str">
        <f t="shared" si="35"/>
        <v>Pijino del Carmen, Magdalena</v>
      </c>
      <c r="E744" s="311">
        <v>47545</v>
      </c>
      <c r="F744" s="312">
        <v>0.1</v>
      </c>
      <c r="G744" s="312">
        <v>0.1</v>
      </c>
      <c r="H744" s="312" t="s">
        <v>295</v>
      </c>
      <c r="I744" s="312">
        <v>0.04</v>
      </c>
      <c r="J744" s="313">
        <v>0.02</v>
      </c>
    </row>
    <row r="745" spans="1:10" ht="17.25" thickBot="1" x14ac:dyDescent="0.35">
      <c r="A745" s="314" t="s">
        <v>1025</v>
      </c>
      <c r="B745" s="315">
        <f t="shared" si="33"/>
        <v>0</v>
      </c>
      <c r="C745" s="315" t="str">
        <f t="shared" si="34"/>
        <v>Magdalena</v>
      </c>
      <c r="D745" s="315" t="str">
        <f t="shared" si="35"/>
        <v>Pivijay, Magdalena</v>
      </c>
      <c r="E745" s="311">
        <v>47551</v>
      </c>
      <c r="F745" s="312">
        <v>0.1</v>
      </c>
      <c r="G745" s="312">
        <v>0.1</v>
      </c>
      <c r="H745" s="312" t="s">
        <v>295</v>
      </c>
      <c r="I745" s="312">
        <v>0.04</v>
      </c>
      <c r="J745" s="313">
        <v>0.02</v>
      </c>
    </row>
    <row r="746" spans="1:10" ht="17.25" thickBot="1" x14ac:dyDescent="0.35">
      <c r="A746" s="314" t="s">
        <v>1026</v>
      </c>
      <c r="B746" s="315">
        <f t="shared" si="33"/>
        <v>0</v>
      </c>
      <c r="C746" s="315" t="str">
        <f t="shared" si="34"/>
        <v>Magdalena</v>
      </c>
      <c r="D746" s="315" t="str">
        <f t="shared" si="35"/>
        <v>Plato, Magdalena</v>
      </c>
      <c r="E746" s="311">
        <v>47555</v>
      </c>
      <c r="F746" s="312">
        <v>0.1</v>
      </c>
      <c r="G746" s="312">
        <v>0.1</v>
      </c>
      <c r="H746" s="312" t="s">
        <v>295</v>
      </c>
      <c r="I746" s="312">
        <v>0.04</v>
      </c>
      <c r="J746" s="313">
        <v>0.02</v>
      </c>
    </row>
    <row r="747" spans="1:10" ht="17.25" thickBot="1" x14ac:dyDescent="0.35">
      <c r="A747" s="314" t="s">
        <v>1027</v>
      </c>
      <c r="B747" s="315">
        <f t="shared" si="33"/>
        <v>0</v>
      </c>
      <c r="C747" s="315" t="str">
        <f t="shared" si="34"/>
        <v>Magdalena</v>
      </c>
      <c r="D747" s="315" t="str">
        <f t="shared" si="35"/>
        <v>Puebloviejo, Magdalena</v>
      </c>
      <c r="E747" s="311">
        <v>47570</v>
      </c>
      <c r="F747" s="312">
        <v>0.1</v>
      </c>
      <c r="G747" s="312">
        <v>0.1</v>
      </c>
      <c r="H747" s="312" t="s">
        <v>295</v>
      </c>
      <c r="I747" s="312">
        <v>0.04</v>
      </c>
      <c r="J747" s="313">
        <v>0.02</v>
      </c>
    </row>
    <row r="748" spans="1:10" ht="17.25" thickBot="1" x14ac:dyDescent="0.35">
      <c r="A748" s="314" t="s">
        <v>1028</v>
      </c>
      <c r="B748" s="315">
        <f t="shared" si="33"/>
        <v>0</v>
      </c>
      <c r="C748" s="315" t="str">
        <f t="shared" si="34"/>
        <v>Magdalena</v>
      </c>
      <c r="D748" s="315" t="str">
        <f t="shared" si="35"/>
        <v>Remolino, Magdalena</v>
      </c>
      <c r="E748" s="311">
        <v>47605</v>
      </c>
      <c r="F748" s="312">
        <v>0.1</v>
      </c>
      <c r="G748" s="312">
        <v>0.1</v>
      </c>
      <c r="H748" s="312" t="s">
        <v>295</v>
      </c>
      <c r="I748" s="312">
        <v>0.04</v>
      </c>
      <c r="J748" s="313">
        <v>0.02</v>
      </c>
    </row>
    <row r="749" spans="1:10" ht="17.25" thickBot="1" x14ac:dyDescent="0.35">
      <c r="A749" s="314" t="s">
        <v>1029</v>
      </c>
      <c r="B749" s="315">
        <f t="shared" si="33"/>
        <v>0</v>
      </c>
      <c r="C749" s="315" t="str">
        <f t="shared" si="34"/>
        <v>Magdalena</v>
      </c>
      <c r="D749" s="315" t="str">
        <f t="shared" si="35"/>
        <v>Sabanas De San Ángel, Magdalena</v>
      </c>
      <c r="E749" s="311">
        <v>47660</v>
      </c>
      <c r="F749" s="312">
        <v>0.1</v>
      </c>
      <c r="G749" s="312">
        <v>0.1</v>
      </c>
      <c r="H749" s="312" t="s">
        <v>295</v>
      </c>
      <c r="I749" s="312">
        <v>0.04</v>
      </c>
      <c r="J749" s="313">
        <v>0.02</v>
      </c>
    </row>
    <row r="750" spans="1:10" ht="17.25" thickBot="1" x14ac:dyDescent="0.35">
      <c r="A750" s="314" t="s">
        <v>677</v>
      </c>
      <c r="B750" s="315">
        <f t="shared" si="33"/>
        <v>0</v>
      </c>
      <c r="C750" s="315" t="str">
        <f t="shared" si="34"/>
        <v>Magdalena</v>
      </c>
      <c r="D750" s="315" t="str">
        <f t="shared" si="35"/>
        <v>Salamina, Magdalena</v>
      </c>
      <c r="E750" s="311">
        <v>47675</v>
      </c>
      <c r="F750" s="312">
        <v>0.1</v>
      </c>
      <c r="G750" s="312">
        <v>0.1</v>
      </c>
      <c r="H750" s="312" t="s">
        <v>295</v>
      </c>
      <c r="I750" s="312">
        <v>0.04</v>
      </c>
      <c r="J750" s="313">
        <v>0.02</v>
      </c>
    </row>
    <row r="751" spans="1:10" ht="17.25" thickBot="1" x14ac:dyDescent="0.35">
      <c r="A751" s="314" t="s">
        <v>1030</v>
      </c>
      <c r="B751" s="315">
        <f t="shared" si="33"/>
        <v>0</v>
      </c>
      <c r="C751" s="315" t="str">
        <f t="shared" si="34"/>
        <v>Magdalena</v>
      </c>
      <c r="D751" s="315" t="str">
        <f t="shared" si="35"/>
        <v>San Sebastián De Buenavista, Magdalena</v>
      </c>
      <c r="E751" s="311">
        <v>47692</v>
      </c>
      <c r="F751" s="312">
        <v>0.1</v>
      </c>
      <c r="G751" s="312">
        <v>0.1</v>
      </c>
      <c r="H751" s="312" t="s">
        <v>295</v>
      </c>
      <c r="I751" s="312">
        <v>0.04</v>
      </c>
      <c r="J751" s="313">
        <v>0.02</v>
      </c>
    </row>
    <row r="752" spans="1:10" ht="17.25" thickBot="1" x14ac:dyDescent="0.35">
      <c r="A752" s="314" t="s">
        <v>1031</v>
      </c>
      <c r="B752" s="315">
        <f t="shared" si="33"/>
        <v>0</v>
      </c>
      <c r="C752" s="315" t="str">
        <f t="shared" si="34"/>
        <v>Magdalena</v>
      </c>
      <c r="D752" s="315" t="str">
        <f t="shared" si="35"/>
        <v>San Zenón, Magdalena</v>
      </c>
      <c r="E752" s="311">
        <v>47703</v>
      </c>
      <c r="F752" s="312">
        <v>0.1</v>
      </c>
      <c r="G752" s="312">
        <v>0.1</v>
      </c>
      <c r="H752" s="312" t="s">
        <v>295</v>
      </c>
      <c r="I752" s="312">
        <v>0.04</v>
      </c>
      <c r="J752" s="313">
        <v>0.02</v>
      </c>
    </row>
    <row r="753" spans="1:10" ht="17.25" thickBot="1" x14ac:dyDescent="0.35">
      <c r="A753" s="314" t="s">
        <v>1032</v>
      </c>
      <c r="B753" s="315">
        <f t="shared" si="33"/>
        <v>0</v>
      </c>
      <c r="C753" s="315" t="str">
        <f t="shared" si="34"/>
        <v>Magdalena</v>
      </c>
      <c r="D753" s="315" t="str">
        <f t="shared" si="35"/>
        <v>Santa Ana, Magdalena</v>
      </c>
      <c r="E753" s="311">
        <v>47707</v>
      </c>
      <c r="F753" s="312">
        <v>0.1</v>
      </c>
      <c r="G753" s="312">
        <v>0.1</v>
      </c>
      <c r="H753" s="312" t="s">
        <v>295</v>
      </c>
      <c r="I753" s="312">
        <v>0.04</v>
      </c>
      <c r="J753" s="313">
        <v>0.02</v>
      </c>
    </row>
    <row r="754" spans="1:10" ht="17.25" thickBot="1" x14ac:dyDescent="0.35">
      <c r="A754" s="314" t="s">
        <v>1033</v>
      </c>
      <c r="B754" s="315">
        <f t="shared" si="33"/>
        <v>0</v>
      </c>
      <c r="C754" s="315" t="str">
        <f t="shared" si="34"/>
        <v>Magdalena</v>
      </c>
      <c r="D754" s="315" t="str">
        <f t="shared" si="35"/>
        <v>Santa Bárbara De Pinto, Magdalena</v>
      </c>
      <c r="E754" s="311">
        <v>47720</v>
      </c>
      <c r="F754" s="312">
        <v>0.1</v>
      </c>
      <c r="G754" s="312">
        <v>0.1</v>
      </c>
      <c r="H754" s="312" t="s">
        <v>295</v>
      </c>
      <c r="I754" s="312">
        <v>0.04</v>
      </c>
      <c r="J754" s="313">
        <v>0.02</v>
      </c>
    </row>
    <row r="755" spans="1:10" ht="17.25" thickBot="1" x14ac:dyDescent="0.35">
      <c r="A755" s="314" t="s">
        <v>1034</v>
      </c>
      <c r="B755" s="315">
        <f t="shared" si="33"/>
        <v>0</v>
      </c>
      <c r="C755" s="315" t="str">
        <f t="shared" si="34"/>
        <v>Magdalena</v>
      </c>
      <c r="D755" s="315" t="str">
        <f t="shared" si="35"/>
        <v>SitioNuevo, Magdalena</v>
      </c>
      <c r="E755" s="311">
        <v>47745</v>
      </c>
      <c r="F755" s="312">
        <v>0.1</v>
      </c>
      <c r="G755" s="312">
        <v>0.1</v>
      </c>
      <c r="H755" s="312" t="s">
        <v>295</v>
      </c>
      <c r="I755" s="312">
        <v>0.05</v>
      </c>
      <c r="J755" s="313">
        <v>0.02</v>
      </c>
    </row>
    <row r="756" spans="1:10" ht="17.25" thickBot="1" x14ac:dyDescent="0.35">
      <c r="A756" s="314" t="s">
        <v>1035</v>
      </c>
      <c r="B756" s="315">
        <f t="shared" si="33"/>
        <v>0</v>
      </c>
      <c r="C756" s="315" t="str">
        <f t="shared" si="34"/>
        <v>Magdalena</v>
      </c>
      <c r="D756" s="315" t="str">
        <f t="shared" si="35"/>
        <v>Tenerife, Magdalena</v>
      </c>
      <c r="E756" s="311">
        <v>47798</v>
      </c>
      <c r="F756" s="312">
        <v>0.1</v>
      </c>
      <c r="G756" s="312">
        <v>0.1</v>
      </c>
      <c r="H756" s="312" t="s">
        <v>295</v>
      </c>
      <c r="I756" s="312">
        <v>0.04</v>
      </c>
      <c r="J756" s="313">
        <v>0.02</v>
      </c>
    </row>
    <row r="757" spans="1:10" ht="17.25" thickBot="1" x14ac:dyDescent="0.35">
      <c r="A757" s="314" t="s">
        <v>1036</v>
      </c>
      <c r="B757" s="315">
        <f t="shared" si="33"/>
        <v>0</v>
      </c>
      <c r="C757" s="315" t="str">
        <f t="shared" si="34"/>
        <v>Magdalena</v>
      </c>
      <c r="D757" s="315" t="str">
        <f t="shared" si="35"/>
        <v>Zapayán, Magdalena</v>
      </c>
      <c r="E757" s="311">
        <v>47960</v>
      </c>
      <c r="F757" s="312">
        <v>0.1</v>
      </c>
      <c r="G757" s="312">
        <v>0.1</v>
      </c>
      <c r="H757" s="312" t="s">
        <v>295</v>
      </c>
      <c r="I757" s="312">
        <v>0.04</v>
      </c>
      <c r="J757" s="313">
        <v>0.02</v>
      </c>
    </row>
    <row r="758" spans="1:10" ht="17.25" thickBot="1" x14ac:dyDescent="0.35">
      <c r="A758" s="314" t="s">
        <v>1037</v>
      </c>
      <c r="B758" s="315">
        <f t="shared" si="33"/>
        <v>0</v>
      </c>
      <c r="C758" s="315" t="str">
        <f t="shared" si="34"/>
        <v>Magdalena</v>
      </c>
      <c r="D758" s="315" t="str">
        <f t="shared" si="35"/>
        <v>Zona Bananera, Magdalena</v>
      </c>
      <c r="E758" s="311">
        <v>47980</v>
      </c>
      <c r="F758" s="312">
        <v>0.1</v>
      </c>
      <c r="G758" s="312">
        <v>0.1</v>
      </c>
      <c r="H758" s="312" t="s">
        <v>295</v>
      </c>
      <c r="I758" s="312">
        <v>0.08</v>
      </c>
      <c r="J758" s="313">
        <v>0.02</v>
      </c>
    </row>
    <row r="759" spans="1:10" ht="17.25" thickBot="1" x14ac:dyDescent="0.35">
      <c r="A759" s="299" t="s">
        <v>1038</v>
      </c>
      <c r="B759" s="300">
        <f t="shared" si="33"/>
        <v>1</v>
      </c>
      <c r="C759" s="300" t="str">
        <f t="shared" si="34"/>
        <v>Meta</v>
      </c>
      <c r="D759" s="300" t="str">
        <f t="shared" si="35"/>
        <v/>
      </c>
      <c r="E759" s="301"/>
      <c r="F759" s="302"/>
      <c r="G759" s="302"/>
      <c r="H759" s="302"/>
      <c r="I759" s="302"/>
      <c r="J759" s="303"/>
    </row>
    <row r="760" spans="1:10" ht="17.25" thickBot="1" x14ac:dyDescent="0.35">
      <c r="A760" s="309" t="s">
        <v>1039</v>
      </c>
      <c r="B760" s="310">
        <f t="shared" si="33"/>
        <v>0</v>
      </c>
      <c r="C760" s="310" t="str">
        <f t="shared" si="34"/>
        <v>Meta</v>
      </c>
      <c r="D760" s="310" t="str">
        <f t="shared" si="35"/>
        <v>Villavicencio, Meta</v>
      </c>
      <c r="E760" s="311">
        <v>50001</v>
      </c>
      <c r="F760" s="312">
        <v>0.35</v>
      </c>
      <c r="G760" s="312">
        <v>0.3</v>
      </c>
      <c r="H760" s="312" t="s">
        <v>322</v>
      </c>
      <c r="I760" s="312">
        <v>0.2</v>
      </c>
      <c r="J760" s="313">
        <v>7.0000000000000007E-2</v>
      </c>
    </row>
    <row r="761" spans="1:10" ht="17.25" thickBot="1" x14ac:dyDescent="0.35">
      <c r="A761" s="314" t="s">
        <v>1040</v>
      </c>
      <c r="B761" s="315">
        <f t="shared" si="33"/>
        <v>0</v>
      </c>
      <c r="C761" s="315" t="str">
        <f t="shared" si="34"/>
        <v>Meta</v>
      </c>
      <c r="D761" s="315" t="str">
        <f t="shared" si="35"/>
        <v>Acacias, Meta</v>
      </c>
      <c r="E761" s="311">
        <v>50006</v>
      </c>
      <c r="F761" s="312">
        <v>0.3</v>
      </c>
      <c r="G761" s="312">
        <v>0.3</v>
      </c>
      <c r="H761" s="312" t="s">
        <v>322</v>
      </c>
      <c r="I761" s="312">
        <v>0.17</v>
      </c>
      <c r="J761" s="313">
        <v>0.06</v>
      </c>
    </row>
    <row r="762" spans="1:10" ht="17.25" thickBot="1" x14ac:dyDescent="0.35">
      <c r="A762" s="314" t="s">
        <v>1041</v>
      </c>
      <c r="B762" s="315">
        <f t="shared" si="33"/>
        <v>0</v>
      </c>
      <c r="C762" s="315" t="str">
        <f t="shared" si="34"/>
        <v>Meta</v>
      </c>
      <c r="D762" s="315" t="str">
        <f t="shared" si="35"/>
        <v>Barranca De Upía, Meta</v>
      </c>
      <c r="E762" s="311">
        <v>50110</v>
      </c>
      <c r="F762" s="312">
        <v>0.25</v>
      </c>
      <c r="G762" s="312">
        <v>0.25</v>
      </c>
      <c r="H762" s="312" t="s">
        <v>322</v>
      </c>
      <c r="I762" s="312">
        <v>0.08</v>
      </c>
      <c r="J762" s="313">
        <v>0.04</v>
      </c>
    </row>
    <row r="763" spans="1:10" ht="17.25" thickBot="1" x14ac:dyDescent="0.35">
      <c r="A763" s="314" t="s">
        <v>1042</v>
      </c>
      <c r="B763" s="315">
        <f t="shared" si="33"/>
        <v>0</v>
      </c>
      <c r="C763" s="315" t="str">
        <f t="shared" si="34"/>
        <v>Meta</v>
      </c>
      <c r="D763" s="315" t="str">
        <f t="shared" si="35"/>
        <v>Cabuyaro, Meta</v>
      </c>
      <c r="E763" s="311">
        <v>50124</v>
      </c>
      <c r="F763" s="312">
        <v>0.2</v>
      </c>
      <c r="G763" s="312">
        <v>0.2</v>
      </c>
      <c r="H763" s="312" t="s">
        <v>40</v>
      </c>
      <c r="I763" s="312">
        <v>0.06</v>
      </c>
      <c r="J763" s="313">
        <v>0.03</v>
      </c>
    </row>
    <row r="764" spans="1:10" ht="17.25" thickBot="1" x14ac:dyDescent="0.35">
      <c r="A764" s="314" t="s">
        <v>1043</v>
      </c>
      <c r="B764" s="315">
        <f t="shared" si="33"/>
        <v>0</v>
      </c>
      <c r="C764" s="315" t="str">
        <f t="shared" si="34"/>
        <v>Meta</v>
      </c>
      <c r="D764" s="315" t="str">
        <f t="shared" si="35"/>
        <v>Castilla La Nueva, Meta</v>
      </c>
      <c r="E764" s="311">
        <v>50150</v>
      </c>
      <c r="F764" s="312">
        <v>0.2</v>
      </c>
      <c r="G764" s="312">
        <v>0.25</v>
      </c>
      <c r="H764" s="312" t="s">
        <v>322</v>
      </c>
      <c r="I764" s="312">
        <v>7.0000000000000007E-2</v>
      </c>
      <c r="J764" s="313">
        <v>0.03</v>
      </c>
    </row>
    <row r="765" spans="1:10" ht="17.25" thickBot="1" x14ac:dyDescent="0.35">
      <c r="A765" s="314" t="s">
        <v>1044</v>
      </c>
      <c r="B765" s="315">
        <f t="shared" si="33"/>
        <v>0</v>
      </c>
      <c r="C765" s="315" t="str">
        <f t="shared" si="34"/>
        <v>Meta</v>
      </c>
      <c r="D765" s="315" t="str">
        <f t="shared" si="35"/>
        <v>Cumaral, Meta</v>
      </c>
      <c r="E765" s="311">
        <v>50226</v>
      </c>
      <c r="F765" s="312">
        <v>0.25</v>
      </c>
      <c r="G765" s="312">
        <v>0.25</v>
      </c>
      <c r="H765" s="312" t="s">
        <v>322</v>
      </c>
      <c r="I765" s="312">
        <v>0.09</v>
      </c>
      <c r="J765" s="313">
        <v>0.04</v>
      </c>
    </row>
    <row r="766" spans="1:10" ht="17.25" thickBot="1" x14ac:dyDescent="0.35">
      <c r="A766" s="314" t="s">
        <v>1045</v>
      </c>
      <c r="B766" s="315">
        <f t="shared" si="33"/>
        <v>0</v>
      </c>
      <c r="C766" s="315" t="str">
        <f t="shared" si="34"/>
        <v>Meta</v>
      </c>
      <c r="D766" s="315" t="str">
        <f t="shared" si="35"/>
        <v>El Calvario, Meta</v>
      </c>
      <c r="E766" s="311">
        <v>50245</v>
      </c>
      <c r="F766" s="312">
        <v>0.3</v>
      </c>
      <c r="G766" s="312">
        <v>0.25</v>
      </c>
      <c r="H766" s="312" t="s">
        <v>322</v>
      </c>
      <c r="I766" s="312">
        <v>0.26</v>
      </c>
      <c r="J766" s="313">
        <v>0.08</v>
      </c>
    </row>
    <row r="767" spans="1:10" ht="17.25" thickBot="1" x14ac:dyDescent="0.35">
      <c r="A767" s="314" t="s">
        <v>1046</v>
      </c>
      <c r="B767" s="315">
        <f t="shared" si="33"/>
        <v>0</v>
      </c>
      <c r="C767" s="315" t="str">
        <f t="shared" si="34"/>
        <v>Meta</v>
      </c>
      <c r="D767" s="315" t="str">
        <f t="shared" si="35"/>
        <v>El Castillo, Meta</v>
      </c>
      <c r="E767" s="311">
        <v>50251</v>
      </c>
      <c r="F767" s="312">
        <v>0.25</v>
      </c>
      <c r="G767" s="312">
        <v>0.25</v>
      </c>
      <c r="H767" s="312" t="s">
        <v>322</v>
      </c>
      <c r="I767" s="312">
        <v>0.11</v>
      </c>
      <c r="J767" s="313">
        <v>0.04</v>
      </c>
    </row>
    <row r="768" spans="1:10" ht="17.25" thickBot="1" x14ac:dyDescent="0.35">
      <c r="A768" s="314" t="s">
        <v>1047</v>
      </c>
      <c r="B768" s="315">
        <f t="shared" si="33"/>
        <v>0</v>
      </c>
      <c r="C768" s="315" t="str">
        <f t="shared" si="34"/>
        <v>Meta</v>
      </c>
      <c r="D768" s="315" t="str">
        <f t="shared" si="35"/>
        <v>El Dorado, Meta</v>
      </c>
      <c r="E768" s="311">
        <v>50270</v>
      </c>
      <c r="F768" s="312">
        <v>0.25</v>
      </c>
      <c r="G768" s="312">
        <v>0.25</v>
      </c>
      <c r="H768" s="312" t="s">
        <v>322</v>
      </c>
      <c r="I768" s="312">
        <v>0.11</v>
      </c>
      <c r="J768" s="313">
        <v>0.05</v>
      </c>
    </row>
    <row r="769" spans="1:10" ht="17.25" thickBot="1" x14ac:dyDescent="0.35">
      <c r="A769" s="314" t="s">
        <v>1048</v>
      </c>
      <c r="B769" s="315">
        <f t="shared" si="33"/>
        <v>0</v>
      </c>
      <c r="C769" s="315" t="str">
        <f t="shared" si="34"/>
        <v>Meta</v>
      </c>
      <c r="D769" s="315" t="str">
        <f t="shared" si="35"/>
        <v>Fuente De Oro, Meta</v>
      </c>
      <c r="E769" s="311">
        <v>50287</v>
      </c>
      <c r="F769" s="312">
        <v>0.15</v>
      </c>
      <c r="G769" s="312">
        <v>0.2</v>
      </c>
      <c r="H769" s="312" t="s">
        <v>40</v>
      </c>
      <c r="I769" s="312">
        <v>0.05</v>
      </c>
      <c r="J769" s="313">
        <v>0.02</v>
      </c>
    </row>
    <row r="770" spans="1:10" ht="17.25" thickBot="1" x14ac:dyDescent="0.35">
      <c r="A770" s="314" t="s">
        <v>388</v>
      </c>
      <c r="B770" s="315">
        <f t="shared" si="33"/>
        <v>0</v>
      </c>
      <c r="C770" s="315" t="str">
        <f t="shared" si="34"/>
        <v>Meta</v>
      </c>
      <c r="D770" s="315" t="str">
        <f t="shared" si="35"/>
        <v>Granada, Meta</v>
      </c>
      <c r="E770" s="311">
        <v>50313</v>
      </c>
      <c r="F770" s="312">
        <v>0.2</v>
      </c>
      <c r="G770" s="312">
        <v>0.25</v>
      </c>
      <c r="H770" s="312" t="s">
        <v>322</v>
      </c>
      <c r="I770" s="312">
        <v>7.0000000000000007E-2</v>
      </c>
      <c r="J770" s="313">
        <v>0.03</v>
      </c>
    </row>
    <row r="771" spans="1:10" ht="17.25" thickBot="1" x14ac:dyDescent="0.35">
      <c r="A771" s="314" t="s">
        <v>1021</v>
      </c>
      <c r="B771" s="315">
        <f t="shared" ref="B771:B834" si="36">IFERROR(FIND("Departamento",A771),0)</f>
        <v>0</v>
      </c>
      <c r="C771" s="315" t="str">
        <f t="shared" ref="C771:C834" si="37">IF(B771=1,IF(ISERROR(FIND("del",A771)),MID(A771,17,30),MID(A771,18,30)),C770)</f>
        <v>Meta</v>
      </c>
      <c r="D771" s="315" t="str">
        <f t="shared" ref="D771:D834" si="38">IF(B771=1,"",CONCATENATE(A771,", ",C771))</f>
        <v>Guamal, Meta</v>
      </c>
      <c r="E771" s="311">
        <v>50318</v>
      </c>
      <c r="F771" s="312">
        <v>0.35</v>
      </c>
      <c r="G771" s="312">
        <v>0.25</v>
      </c>
      <c r="H771" s="312" t="s">
        <v>322</v>
      </c>
      <c r="I771" s="312">
        <v>0.28000000000000003</v>
      </c>
      <c r="J771" s="313">
        <v>0.08</v>
      </c>
    </row>
    <row r="772" spans="1:10" ht="17.25" thickBot="1" x14ac:dyDescent="0.35">
      <c r="A772" s="314" t="s">
        <v>1049</v>
      </c>
      <c r="B772" s="315">
        <f t="shared" si="36"/>
        <v>0</v>
      </c>
      <c r="C772" s="315" t="str">
        <f t="shared" si="37"/>
        <v>Meta</v>
      </c>
      <c r="D772" s="315" t="str">
        <f t="shared" si="38"/>
        <v>La Macarena, Meta</v>
      </c>
      <c r="E772" s="311">
        <v>50350</v>
      </c>
      <c r="F772" s="312">
        <v>0.05</v>
      </c>
      <c r="G772" s="312">
        <v>0.1</v>
      </c>
      <c r="H772" s="312" t="s">
        <v>295</v>
      </c>
      <c r="I772" s="312">
        <v>0.03</v>
      </c>
      <c r="J772" s="313">
        <v>0.02</v>
      </c>
    </row>
    <row r="773" spans="1:10" ht="17.25" thickBot="1" x14ac:dyDescent="0.35">
      <c r="A773" s="314" t="s">
        <v>1050</v>
      </c>
      <c r="B773" s="315">
        <f t="shared" si="36"/>
        <v>0</v>
      </c>
      <c r="C773" s="315" t="str">
        <f t="shared" si="37"/>
        <v>Meta</v>
      </c>
      <c r="D773" s="315" t="str">
        <f t="shared" si="38"/>
        <v>La Uribe, Meta</v>
      </c>
      <c r="E773" s="311">
        <v>50370</v>
      </c>
      <c r="F773" s="312">
        <v>0.25</v>
      </c>
      <c r="G773" s="312">
        <v>0.25</v>
      </c>
      <c r="H773" s="312" t="s">
        <v>322</v>
      </c>
      <c r="I773" s="312">
        <v>0.1</v>
      </c>
      <c r="J773" s="313">
        <v>0.04</v>
      </c>
    </row>
    <row r="774" spans="1:10" ht="17.25" thickBot="1" x14ac:dyDescent="0.35">
      <c r="A774" s="314" t="s">
        <v>1051</v>
      </c>
      <c r="B774" s="315">
        <f t="shared" si="36"/>
        <v>0</v>
      </c>
      <c r="C774" s="315" t="str">
        <f t="shared" si="37"/>
        <v>Meta</v>
      </c>
      <c r="D774" s="315" t="str">
        <f t="shared" si="38"/>
        <v>Lejanías, Meta</v>
      </c>
      <c r="E774" s="311">
        <v>50400</v>
      </c>
      <c r="F774" s="312">
        <v>0.3</v>
      </c>
      <c r="G774" s="312">
        <v>0.25</v>
      </c>
      <c r="H774" s="312" t="s">
        <v>322</v>
      </c>
      <c r="I774" s="312">
        <v>0.19</v>
      </c>
      <c r="J774" s="313">
        <v>0.08</v>
      </c>
    </row>
    <row r="775" spans="1:10" ht="17.25" thickBot="1" x14ac:dyDescent="0.35">
      <c r="A775" s="314" t="s">
        <v>1052</v>
      </c>
      <c r="B775" s="315">
        <f t="shared" si="36"/>
        <v>0</v>
      </c>
      <c r="C775" s="315" t="str">
        <f t="shared" si="37"/>
        <v>Meta</v>
      </c>
      <c r="D775" s="315" t="str">
        <f t="shared" si="38"/>
        <v>Mapiripán, Meta</v>
      </c>
      <c r="E775" s="311">
        <v>50325</v>
      </c>
      <c r="F775" s="312">
        <v>0.05</v>
      </c>
      <c r="G775" s="312">
        <v>0.05</v>
      </c>
      <c r="H775" s="312" t="s">
        <v>295</v>
      </c>
      <c r="I775" s="312">
        <v>0.02</v>
      </c>
      <c r="J775" s="313">
        <v>0.02</v>
      </c>
    </row>
    <row r="776" spans="1:10" ht="17.25" thickBot="1" x14ac:dyDescent="0.35">
      <c r="A776" s="314" t="s">
        <v>1053</v>
      </c>
      <c r="B776" s="315">
        <f t="shared" si="36"/>
        <v>0</v>
      </c>
      <c r="C776" s="315" t="str">
        <f t="shared" si="37"/>
        <v>Meta</v>
      </c>
      <c r="D776" s="315" t="str">
        <f t="shared" si="38"/>
        <v>Mesetas, Meta</v>
      </c>
      <c r="E776" s="311">
        <v>50330</v>
      </c>
      <c r="F776" s="312">
        <v>0.2</v>
      </c>
      <c r="G776" s="312">
        <v>0.25</v>
      </c>
      <c r="H776" s="312" t="s">
        <v>322</v>
      </c>
      <c r="I776" s="312">
        <v>7.0000000000000007E-2</v>
      </c>
      <c r="J776" s="313">
        <v>0.03</v>
      </c>
    </row>
    <row r="777" spans="1:10" ht="17.25" thickBot="1" x14ac:dyDescent="0.35">
      <c r="A777" s="314" t="s">
        <v>1054</v>
      </c>
      <c r="B777" s="315">
        <f t="shared" si="36"/>
        <v>0</v>
      </c>
      <c r="C777" s="315" t="str">
        <f t="shared" si="37"/>
        <v>Meta</v>
      </c>
      <c r="D777" s="315" t="str">
        <f t="shared" si="38"/>
        <v>Puerto Concordia, Meta</v>
      </c>
      <c r="E777" s="311">
        <v>50450</v>
      </c>
      <c r="F777" s="312">
        <v>0.05</v>
      </c>
      <c r="G777" s="312">
        <v>0.05</v>
      </c>
      <c r="H777" s="312" t="s">
        <v>295</v>
      </c>
      <c r="I777" s="312">
        <v>0.04</v>
      </c>
      <c r="J777" s="313">
        <v>0.02</v>
      </c>
    </row>
    <row r="778" spans="1:10" ht="17.25" thickBot="1" x14ac:dyDescent="0.35">
      <c r="A778" s="314" t="s">
        <v>1055</v>
      </c>
      <c r="B778" s="315">
        <f t="shared" si="36"/>
        <v>0</v>
      </c>
      <c r="C778" s="315" t="str">
        <f t="shared" si="37"/>
        <v>Meta</v>
      </c>
      <c r="D778" s="315" t="str">
        <f t="shared" si="38"/>
        <v>Puerto Gaitán, Meta</v>
      </c>
      <c r="E778" s="311">
        <v>50568</v>
      </c>
      <c r="F778" s="312">
        <v>0.05</v>
      </c>
      <c r="G778" s="312">
        <v>0.1</v>
      </c>
      <c r="H778" s="312" t="s">
        <v>295</v>
      </c>
      <c r="I778" s="312">
        <v>0.04</v>
      </c>
      <c r="J778" s="313">
        <v>0.02</v>
      </c>
    </row>
    <row r="779" spans="1:10" ht="17.25" thickBot="1" x14ac:dyDescent="0.35">
      <c r="A779" s="314" t="s">
        <v>1056</v>
      </c>
      <c r="B779" s="315">
        <f t="shared" si="36"/>
        <v>0</v>
      </c>
      <c r="C779" s="315" t="str">
        <f t="shared" si="37"/>
        <v>Meta</v>
      </c>
      <c r="D779" s="315" t="str">
        <f t="shared" si="38"/>
        <v>Puerto Lleras, Meta</v>
      </c>
      <c r="E779" s="311">
        <v>50577</v>
      </c>
      <c r="F779" s="312">
        <v>0.05</v>
      </c>
      <c r="G779" s="312">
        <v>0.15</v>
      </c>
      <c r="H779" s="312" t="s">
        <v>40</v>
      </c>
      <c r="I779" s="312">
        <v>0.04</v>
      </c>
      <c r="J779" s="313">
        <v>0.02</v>
      </c>
    </row>
    <row r="780" spans="1:10" ht="17.25" thickBot="1" x14ac:dyDescent="0.35">
      <c r="A780" s="314" t="s">
        <v>1057</v>
      </c>
      <c r="B780" s="315">
        <f t="shared" si="36"/>
        <v>0</v>
      </c>
      <c r="C780" s="315" t="str">
        <f t="shared" si="37"/>
        <v>Meta</v>
      </c>
      <c r="D780" s="315" t="str">
        <f t="shared" si="38"/>
        <v>Puerto López, Meta</v>
      </c>
      <c r="E780" s="311">
        <v>50573</v>
      </c>
      <c r="F780" s="312">
        <v>0.05</v>
      </c>
      <c r="G780" s="312">
        <v>0.15</v>
      </c>
      <c r="H780" s="312" t="s">
        <v>40</v>
      </c>
      <c r="I780" s="312">
        <v>0.04</v>
      </c>
      <c r="J780" s="313">
        <v>0.02</v>
      </c>
    </row>
    <row r="781" spans="1:10" ht="17.25" thickBot="1" x14ac:dyDescent="0.35">
      <c r="A781" s="314" t="s">
        <v>695</v>
      </c>
      <c r="B781" s="315">
        <f t="shared" si="36"/>
        <v>0</v>
      </c>
      <c r="C781" s="315" t="str">
        <f t="shared" si="37"/>
        <v>Meta</v>
      </c>
      <c r="D781" s="315" t="str">
        <f t="shared" si="38"/>
        <v>Puerto Rico, Meta</v>
      </c>
      <c r="E781" s="311">
        <v>50590</v>
      </c>
      <c r="F781" s="312">
        <v>0.05</v>
      </c>
      <c r="G781" s="312">
        <v>0.1</v>
      </c>
      <c r="H781" s="312" t="s">
        <v>295</v>
      </c>
      <c r="I781" s="312">
        <v>0.04</v>
      </c>
      <c r="J781" s="313">
        <v>0.02</v>
      </c>
    </row>
    <row r="782" spans="1:10" ht="17.25" thickBot="1" x14ac:dyDescent="0.35">
      <c r="A782" s="314" t="s">
        <v>1058</v>
      </c>
      <c r="B782" s="315">
        <f t="shared" si="36"/>
        <v>0</v>
      </c>
      <c r="C782" s="315" t="str">
        <f t="shared" si="37"/>
        <v>Meta</v>
      </c>
      <c r="D782" s="315" t="str">
        <f t="shared" si="38"/>
        <v>Restrepo, Meta</v>
      </c>
      <c r="E782" s="311">
        <v>50606</v>
      </c>
      <c r="F782" s="312">
        <v>0.3</v>
      </c>
      <c r="G782" s="312">
        <v>0.3</v>
      </c>
      <c r="H782" s="312" t="s">
        <v>322</v>
      </c>
      <c r="I782" s="312">
        <v>0.13</v>
      </c>
      <c r="J782" s="313">
        <v>0.05</v>
      </c>
    </row>
    <row r="783" spans="1:10" ht="17.25" thickBot="1" x14ac:dyDescent="0.35">
      <c r="A783" s="314" t="s">
        <v>1059</v>
      </c>
      <c r="B783" s="315">
        <f t="shared" si="36"/>
        <v>0</v>
      </c>
      <c r="C783" s="315" t="str">
        <f t="shared" si="37"/>
        <v>Meta</v>
      </c>
      <c r="D783" s="315" t="str">
        <f t="shared" si="38"/>
        <v>San Carlos Guaroa, Meta</v>
      </c>
      <c r="E783" s="311">
        <v>50680</v>
      </c>
      <c r="F783" s="312">
        <v>0.15</v>
      </c>
      <c r="G783" s="312">
        <v>0.2</v>
      </c>
      <c r="H783" s="312" t="s">
        <v>40</v>
      </c>
      <c r="I783" s="312">
        <v>0.05</v>
      </c>
      <c r="J783" s="313">
        <v>0.03</v>
      </c>
    </row>
    <row r="784" spans="1:10" ht="17.25" thickBot="1" x14ac:dyDescent="0.35">
      <c r="A784" s="314" t="s">
        <v>1060</v>
      </c>
      <c r="B784" s="315">
        <f t="shared" si="36"/>
        <v>0</v>
      </c>
      <c r="C784" s="315" t="str">
        <f t="shared" si="37"/>
        <v>Meta</v>
      </c>
      <c r="D784" s="315" t="str">
        <f t="shared" si="38"/>
        <v>San Juan De Arama, Meta</v>
      </c>
      <c r="E784" s="311">
        <v>50683</v>
      </c>
      <c r="F784" s="312">
        <v>0.15</v>
      </c>
      <c r="G784" s="312">
        <v>0.2</v>
      </c>
      <c r="H784" s="312" t="s">
        <v>40</v>
      </c>
      <c r="I784" s="312">
        <v>0.06</v>
      </c>
      <c r="J784" s="313">
        <v>0.03</v>
      </c>
    </row>
    <row r="785" spans="1:10" ht="17.25" thickBot="1" x14ac:dyDescent="0.35">
      <c r="A785" s="314" t="s">
        <v>1061</v>
      </c>
      <c r="B785" s="315">
        <f t="shared" si="36"/>
        <v>0</v>
      </c>
      <c r="C785" s="315" t="str">
        <f t="shared" si="37"/>
        <v>Meta</v>
      </c>
      <c r="D785" s="315" t="str">
        <f t="shared" si="38"/>
        <v>San Juanito, Meta</v>
      </c>
      <c r="E785" s="311">
        <v>50686</v>
      </c>
      <c r="F785" s="312">
        <v>0.3</v>
      </c>
      <c r="G785" s="312">
        <v>0.25</v>
      </c>
      <c r="H785" s="312" t="s">
        <v>322</v>
      </c>
      <c r="I785" s="312">
        <v>0.2</v>
      </c>
      <c r="J785" s="313">
        <v>0.08</v>
      </c>
    </row>
    <row r="786" spans="1:10" ht="17.25" thickBot="1" x14ac:dyDescent="0.35">
      <c r="A786" s="314" t="s">
        <v>1062</v>
      </c>
      <c r="B786" s="315">
        <f t="shared" si="36"/>
        <v>0</v>
      </c>
      <c r="C786" s="315" t="str">
        <f t="shared" si="37"/>
        <v>Meta</v>
      </c>
      <c r="D786" s="315" t="str">
        <f t="shared" si="38"/>
        <v>San Luis De Cubarral, Meta</v>
      </c>
      <c r="E786" s="311">
        <v>50223</v>
      </c>
      <c r="F786" s="312">
        <v>0.35</v>
      </c>
      <c r="G786" s="312">
        <v>0.25</v>
      </c>
      <c r="H786" s="312" t="s">
        <v>322</v>
      </c>
      <c r="I786" s="312">
        <v>0.2</v>
      </c>
      <c r="J786" s="313">
        <v>0.08</v>
      </c>
    </row>
    <row r="787" spans="1:10" ht="17.25" thickBot="1" x14ac:dyDescent="0.35">
      <c r="A787" s="314" t="s">
        <v>777</v>
      </c>
      <c r="B787" s="315">
        <f t="shared" si="36"/>
        <v>0</v>
      </c>
      <c r="C787" s="315" t="str">
        <f t="shared" si="37"/>
        <v>Meta</v>
      </c>
      <c r="D787" s="315" t="str">
        <f t="shared" si="38"/>
        <v>San Martín, Meta</v>
      </c>
      <c r="E787" s="311">
        <v>50689</v>
      </c>
      <c r="F787" s="312">
        <v>0.05</v>
      </c>
      <c r="G787" s="312">
        <v>0.15</v>
      </c>
      <c r="H787" s="312" t="s">
        <v>40</v>
      </c>
      <c r="I787" s="312">
        <v>0.04</v>
      </c>
      <c r="J787" s="313">
        <v>0.02</v>
      </c>
    </row>
    <row r="788" spans="1:10" ht="17.25" thickBot="1" x14ac:dyDescent="0.35">
      <c r="A788" s="314" t="s">
        <v>1063</v>
      </c>
      <c r="B788" s="315">
        <f t="shared" si="36"/>
        <v>0</v>
      </c>
      <c r="C788" s="315" t="str">
        <f t="shared" si="37"/>
        <v>Meta</v>
      </c>
      <c r="D788" s="315" t="str">
        <f t="shared" si="38"/>
        <v>Vista Hermosa, Meta</v>
      </c>
      <c r="E788" s="311">
        <v>50711</v>
      </c>
      <c r="F788" s="312">
        <v>0.05</v>
      </c>
      <c r="G788" s="312">
        <v>0.15</v>
      </c>
      <c r="H788" s="312" t="s">
        <v>40</v>
      </c>
      <c r="I788" s="312">
        <v>0.04</v>
      </c>
      <c r="J788" s="313">
        <v>0.02</v>
      </c>
    </row>
    <row r="789" spans="1:10" ht="17.25" thickBot="1" x14ac:dyDescent="0.35">
      <c r="A789" s="299" t="s">
        <v>1064</v>
      </c>
      <c r="B789" s="300">
        <f t="shared" si="36"/>
        <v>1</v>
      </c>
      <c r="C789" s="300" t="str">
        <f t="shared" si="37"/>
        <v>Nariño</v>
      </c>
      <c r="D789" s="300" t="str">
        <f t="shared" si="38"/>
        <v/>
      </c>
      <c r="E789" s="301"/>
      <c r="F789" s="302"/>
      <c r="G789" s="302"/>
      <c r="H789" s="302"/>
      <c r="I789" s="302"/>
      <c r="J789" s="303"/>
    </row>
    <row r="790" spans="1:10" ht="17.25" thickBot="1" x14ac:dyDescent="0.35">
      <c r="A790" s="309" t="s">
        <v>1065</v>
      </c>
      <c r="B790" s="310">
        <f t="shared" si="36"/>
        <v>0</v>
      </c>
      <c r="C790" s="310" t="str">
        <f t="shared" si="37"/>
        <v>Nariño</v>
      </c>
      <c r="D790" s="310" t="str">
        <f t="shared" si="38"/>
        <v>Pasto, Nariño</v>
      </c>
      <c r="E790" s="311">
        <v>52001</v>
      </c>
      <c r="F790" s="312">
        <v>0.25</v>
      </c>
      <c r="G790" s="312">
        <v>0.25</v>
      </c>
      <c r="H790" s="312" t="s">
        <v>322</v>
      </c>
      <c r="I790" s="312">
        <v>0.15</v>
      </c>
      <c r="J790" s="313">
        <v>0.08</v>
      </c>
    </row>
    <row r="791" spans="1:10" ht="17.25" thickBot="1" x14ac:dyDescent="0.35">
      <c r="A791" s="314" t="s">
        <v>839</v>
      </c>
      <c r="B791" s="315">
        <f t="shared" si="36"/>
        <v>0</v>
      </c>
      <c r="C791" s="315" t="str">
        <f t="shared" si="37"/>
        <v>Nariño</v>
      </c>
      <c r="D791" s="315" t="str">
        <f t="shared" si="38"/>
        <v>Albán, Nariño</v>
      </c>
      <c r="E791" s="311">
        <v>52019</v>
      </c>
      <c r="F791" s="312">
        <v>0.25</v>
      </c>
      <c r="G791" s="312">
        <v>0.25</v>
      </c>
      <c r="H791" s="312" t="s">
        <v>322</v>
      </c>
      <c r="I791" s="312">
        <v>0.16</v>
      </c>
      <c r="J791" s="313">
        <v>0.08</v>
      </c>
    </row>
    <row r="792" spans="1:10" ht="17.25" thickBot="1" x14ac:dyDescent="0.35">
      <c r="A792" s="314" t="s">
        <v>1066</v>
      </c>
      <c r="B792" s="315">
        <f t="shared" si="36"/>
        <v>0</v>
      </c>
      <c r="C792" s="315" t="str">
        <f t="shared" si="37"/>
        <v>Nariño</v>
      </c>
      <c r="D792" s="315" t="str">
        <f t="shared" si="38"/>
        <v>Aldana, Nariño</v>
      </c>
      <c r="E792" s="311">
        <v>52022</v>
      </c>
      <c r="F792" s="312">
        <v>0.25</v>
      </c>
      <c r="G792" s="312">
        <v>0.25</v>
      </c>
      <c r="H792" s="312" t="s">
        <v>322</v>
      </c>
      <c r="I792" s="312">
        <v>0.14000000000000001</v>
      </c>
      <c r="J792" s="313">
        <v>0.08</v>
      </c>
    </row>
    <row r="793" spans="1:10" ht="17.25" thickBot="1" x14ac:dyDescent="0.35">
      <c r="A793" s="314" t="s">
        <v>1067</v>
      </c>
      <c r="B793" s="315">
        <f t="shared" si="36"/>
        <v>0</v>
      </c>
      <c r="C793" s="315" t="str">
        <f t="shared" si="37"/>
        <v>Nariño</v>
      </c>
      <c r="D793" s="315" t="str">
        <f t="shared" si="38"/>
        <v>Ancuyá, Nariño</v>
      </c>
      <c r="E793" s="311">
        <v>52036</v>
      </c>
      <c r="F793" s="312">
        <v>0.25</v>
      </c>
      <c r="G793" s="312">
        <v>0.25</v>
      </c>
      <c r="H793" s="312" t="s">
        <v>322</v>
      </c>
      <c r="I793" s="312">
        <v>0.15</v>
      </c>
      <c r="J793" s="313">
        <v>0.08</v>
      </c>
    </row>
    <row r="794" spans="1:10" ht="17.25" thickBot="1" x14ac:dyDescent="0.35">
      <c r="A794" s="314" t="s">
        <v>1068</v>
      </c>
      <c r="B794" s="315">
        <f t="shared" si="36"/>
        <v>0</v>
      </c>
      <c r="C794" s="315" t="str">
        <f t="shared" si="37"/>
        <v>Nariño</v>
      </c>
      <c r="D794" s="315" t="str">
        <f t="shared" si="38"/>
        <v>Arboleda, Nariño</v>
      </c>
      <c r="E794" s="311">
        <v>52051</v>
      </c>
      <c r="F794" s="312">
        <v>0.25</v>
      </c>
      <c r="G794" s="312">
        <v>0.25</v>
      </c>
      <c r="H794" s="312" t="s">
        <v>322</v>
      </c>
      <c r="I794" s="312">
        <v>0.15</v>
      </c>
      <c r="J794" s="313">
        <v>0.08</v>
      </c>
    </row>
    <row r="795" spans="1:10" ht="17.25" thickBot="1" x14ac:dyDescent="0.35">
      <c r="A795" s="314" t="s">
        <v>1069</v>
      </c>
      <c r="B795" s="315">
        <f t="shared" si="36"/>
        <v>0</v>
      </c>
      <c r="C795" s="315" t="str">
        <f t="shared" si="37"/>
        <v>Nariño</v>
      </c>
      <c r="D795" s="315" t="str">
        <f t="shared" si="38"/>
        <v>Barbacoas, Nariño</v>
      </c>
      <c r="E795" s="311">
        <v>52079</v>
      </c>
      <c r="F795" s="312">
        <v>0.35</v>
      </c>
      <c r="G795" s="312">
        <v>0.35</v>
      </c>
      <c r="H795" s="312" t="s">
        <v>322</v>
      </c>
      <c r="I795" s="312">
        <v>0.16</v>
      </c>
      <c r="J795" s="313">
        <v>0.08</v>
      </c>
    </row>
    <row r="796" spans="1:10" ht="17.25" thickBot="1" x14ac:dyDescent="0.35">
      <c r="A796" s="314" t="s">
        <v>543</v>
      </c>
      <c r="B796" s="315">
        <f t="shared" si="36"/>
        <v>0</v>
      </c>
      <c r="C796" s="315" t="str">
        <f t="shared" si="37"/>
        <v>Nariño</v>
      </c>
      <c r="D796" s="315" t="str">
        <f t="shared" si="38"/>
        <v>Belén, Nariño</v>
      </c>
      <c r="E796" s="311">
        <v>52083</v>
      </c>
      <c r="F796" s="312">
        <v>0.25</v>
      </c>
      <c r="G796" s="312">
        <v>0.25</v>
      </c>
      <c r="H796" s="312" t="s">
        <v>322</v>
      </c>
      <c r="I796" s="312">
        <v>0.16</v>
      </c>
      <c r="J796" s="313">
        <v>0.08</v>
      </c>
    </row>
    <row r="797" spans="1:10" ht="17.25" thickBot="1" x14ac:dyDescent="0.35">
      <c r="A797" s="314" t="s">
        <v>1070</v>
      </c>
      <c r="B797" s="315">
        <f t="shared" si="36"/>
        <v>0</v>
      </c>
      <c r="C797" s="315" t="str">
        <f t="shared" si="37"/>
        <v>Nariño</v>
      </c>
      <c r="D797" s="315" t="str">
        <f t="shared" si="38"/>
        <v>Buesaco, Nariño</v>
      </c>
      <c r="E797" s="311">
        <v>52110</v>
      </c>
      <c r="F797" s="312">
        <v>0.25</v>
      </c>
      <c r="G797" s="312">
        <v>0.25</v>
      </c>
      <c r="H797" s="312" t="s">
        <v>322</v>
      </c>
      <c r="I797" s="312">
        <v>0.16</v>
      </c>
      <c r="J797" s="313">
        <v>0.08</v>
      </c>
    </row>
    <row r="798" spans="1:10" ht="17.25" thickBot="1" x14ac:dyDescent="0.35">
      <c r="A798" s="314" t="s">
        <v>1071</v>
      </c>
      <c r="B798" s="315">
        <f t="shared" si="36"/>
        <v>0</v>
      </c>
      <c r="C798" s="315" t="str">
        <f t="shared" si="37"/>
        <v>Nariño</v>
      </c>
      <c r="D798" s="315" t="str">
        <f t="shared" si="38"/>
        <v>Chachagui, Nariño</v>
      </c>
      <c r="E798" s="311">
        <v>52240</v>
      </c>
      <c r="F798" s="312">
        <v>0.25</v>
      </c>
      <c r="G798" s="312">
        <v>0.25</v>
      </c>
      <c r="H798" s="312" t="s">
        <v>322</v>
      </c>
      <c r="I798" s="312">
        <v>0.11</v>
      </c>
      <c r="J798" s="313">
        <v>7.0000000000000007E-2</v>
      </c>
    </row>
    <row r="799" spans="1:10" ht="17.25" thickBot="1" x14ac:dyDescent="0.35">
      <c r="A799" s="314" t="s">
        <v>1072</v>
      </c>
      <c r="B799" s="315">
        <f t="shared" si="36"/>
        <v>0</v>
      </c>
      <c r="C799" s="315" t="str">
        <f t="shared" si="37"/>
        <v>Nariño</v>
      </c>
      <c r="D799" s="315" t="str">
        <f t="shared" si="38"/>
        <v>Colón, Nariño</v>
      </c>
      <c r="E799" s="311">
        <v>52203</v>
      </c>
      <c r="F799" s="312">
        <v>0.25</v>
      </c>
      <c r="G799" s="312">
        <v>0.25</v>
      </c>
      <c r="H799" s="312" t="s">
        <v>322</v>
      </c>
      <c r="I799" s="312">
        <v>0.15</v>
      </c>
      <c r="J799" s="313">
        <v>0.08</v>
      </c>
    </row>
    <row r="800" spans="1:10" ht="17.25" thickBot="1" x14ac:dyDescent="0.35">
      <c r="A800" s="314" t="s">
        <v>1073</v>
      </c>
      <c r="B800" s="315">
        <f t="shared" si="36"/>
        <v>0</v>
      </c>
      <c r="C800" s="315" t="str">
        <f t="shared" si="37"/>
        <v>Nariño</v>
      </c>
      <c r="D800" s="315" t="str">
        <f t="shared" si="38"/>
        <v>Consacá, Nariño</v>
      </c>
      <c r="E800" s="311">
        <v>52207</v>
      </c>
      <c r="F800" s="312">
        <v>0.25</v>
      </c>
      <c r="G800" s="312">
        <v>0.25</v>
      </c>
      <c r="H800" s="312" t="s">
        <v>322</v>
      </c>
      <c r="I800" s="312">
        <v>0.11</v>
      </c>
      <c r="J800" s="313">
        <v>7.0000000000000007E-2</v>
      </c>
    </row>
    <row r="801" spans="1:10" ht="17.25" thickBot="1" x14ac:dyDescent="0.35">
      <c r="A801" s="314" t="s">
        <v>1074</v>
      </c>
      <c r="B801" s="315">
        <f t="shared" si="36"/>
        <v>0</v>
      </c>
      <c r="C801" s="315" t="str">
        <f t="shared" si="37"/>
        <v>Nariño</v>
      </c>
      <c r="D801" s="315" t="str">
        <f t="shared" si="38"/>
        <v>Contadero, Nariño</v>
      </c>
      <c r="E801" s="311">
        <v>52210</v>
      </c>
      <c r="F801" s="312">
        <v>0.25</v>
      </c>
      <c r="G801" s="312">
        <v>0.25</v>
      </c>
      <c r="H801" s="312" t="s">
        <v>322</v>
      </c>
      <c r="I801" s="312">
        <v>0.12</v>
      </c>
      <c r="J801" s="313">
        <v>7.0000000000000007E-2</v>
      </c>
    </row>
    <row r="802" spans="1:10" ht="17.25" thickBot="1" x14ac:dyDescent="0.35">
      <c r="A802" s="314" t="s">
        <v>312</v>
      </c>
      <c r="B802" s="315">
        <f t="shared" si="36"/>
        <v>0</v>
      </c>
      <c r="C802" s="315" t="str">
        <f t="shared" si="37"/>
        <v>Nariño</v>
      </c>
      <c r="D802" s="315" t="str">
        <f t="shared" si="38"/>
        <v>Córdoba, Nariño</v>
      </c>
      <c r="E802" s="311">
        <v>52215</v>
      </c>
      <c r="F802" s="312">
        <v>0.25</v>
      </c>
      <c r="G802" s="312">
        <v>0.25</v>
      </c>
      <c r="H802" s="312" t="s">
        <v>322</v>
      </c>
      <c r="I802" s="312">
        <v>0.16</v>
      </c>
      <c r="J802" s="313">
        <v>0.08</v>
      </c>
    </row>
    <row r="803" spans="1:10" ht="17.25" thickBot="1" x14ac:dyDescent="0.35">
      <c r="A803" s="314" t="s">
        <v>1075</v>
      </c>
      <c r="B803" s="315">
        <f t="shared" si="36"/>
        <v>0</v>
      </c>
      <c r="C803" s="315" t="str">
        <f t="shared" si="37"/>
        <v>Nariño</v>
      </c>
      <c r="D803" s="315" t="str">
        <f t="shared" si="38"/>
        <v>Cuaspud, Nariño</v>
      </c>
      <c r="E803" s="311">
        <v>52224</v>
      </c>
      <c r="F803" s="312">
        <v>0.25</v>
      </c>
      <c r="G803" s="312">
        <v>0.25</v>
      </c>
      <c r="H803" s="312" t="s">
        <v>322</v>
      </c>
      <c r="I803" s="312">
        <v>0.14000000000000001</v>
      </c>
      <c r="J803" s="313">
        <v>0.08</v>
      </c>
    </row>
    <row r="804" spans="1:10" ht="17.25" thickBot="1" x14ac:dyDescent="0.35">
      <c r="A804" s="314" t="s">
        <v>1076</v>
      </c>
      <c r="B804" s="315">
        <f t="shared" si="36"/>
        <v>0</v>
      </c>
      <c r="C804" s="315" t="str">
        <f t="shared" si="37"/>
        <v>Nariño</v>
      </c>
      <c r="D804" s="315" t="str">
        <f t="shared" si="38"/>
        <v>Cumbal, Nariño</v>
      </c>
      <c r="E804" s="311">
        <v>52227</v>
      </c>
      <c r="F804" s="312">
        <v>0.3</v>
      </c>
      <c r="G804" s="312">
        <v>0.25</v>
      </c>
      <c r="H804" s="312" t="s">
        <v>322</v>
      </c>
      <c r="I804" s="312">
        <v>0.16</v>
      </c>
      <c r="J804" s="313">
        <v>0.08</v>
      </c>
    </row>
    <row r="805" spans="1:10" ht="17.25" thickBot="1" x14ac:dyDescent="0.35">
      <c r="A805" s="314" t="s">
        <v>1077</v>
      </c>
      <c r="B805" s="315">
        <f t="shared" si="36"/>
        <v>0</v>
      </c>
      <c r="C805" s="315" t="str">
        <f t="shared" si="37"/>
        <v>Nariño</v>
      </c>
      <c r="D805" s="315" t="str">
        <f t="shared" si="38"/>
        <v>Cumbitará, Nariño</v>
      </c>
      <c r="E805" s="311">
        <v>52233</v>
      </c>
      <c r="F805" s="312">
        <v>0.3</v>
      </c>
      <c r="G805" s="312">
        <v>0.3</v>
      </c>
      <c r="H805" s="312" t="s">
        <v>322</v>
      </c>
      <c r="I805" s="312">
        <v>0.1</v>
      </c>
      <c r="J805" s="313">
        <v>7.0000000000000007E-2</v>
      </c>
    </row>
    <row r="806" spans="1:10" ht="17.25" thickBot="1" x14ac:dyDescent="0.35">
      <c r="A806" s="314" t="s">
        <v>1078</v>
      </c>
      <c r="B806" s="315">
        <f t="shared" si="36"/>
        <v>0</v>
      </c>
      <c r="C806" s="315" t="str">
        <f t="shared" si="37"/>
        <v>Nariño</v>
      </c>
      <c r="D806" s="315" t="str">
        <f t="shared" si="38"/>
        <v>El Charco, Nariño</v>
      </c>
      <c r="E806" s="311">
        <v>52250</v>
      </c>
      <c r="F806" s="312">
        <v>0.4</v>
      </c>
      <c r="G806" s="312">
        <v>0.35</v>
      </c>
      <c r="H806" s="312" t="s">
        <v>322</v>
      </c>
      <c r="I806" s="312">
        <v>0.13</v>
      </c>
      <c r="J806" s="313">
        <v>0.08</v>
      </c>
    </row>
    <row r="807" spans="1:10" ht="17.25" thickBot="1" x14ac:dyDescent="0.35">
      <c r="A807" s="314" t="s">
        <v>1079</v>
      </c>
      <c r="B807" s="315">
        <f t="shared" si="36"/>
        <v>0</v>
      </c>
      <c r="C807" s="315" t="str">
        <f t="shared" si="37"/>
        <v>Nariño</v>
      </c>
      <c r="D807" s="315" t="str">
        <f t="shared" si="38"/>
        <v>El Peñol, Nariño</v>
      </c>
      <c r="E807" s="311">
        <v>52254</v>
      </c>
      <c r="F807" s="312">
        <v>0.25</v>
      </c>
      <c r="G807" s="312">
        <v>0.25</v>
      </c>
      <c r="H807" s="312" t="s">
        <v>322</v>
      </c>
      <c r="I807" s="312">
        <v>0.16</v>
      </c>
      <c r="J807" s="313">
        <v>0.08</v>
      </c>
    </row>
    <row r="808" spans="1:10" ht="17.25" thickBot="1" x14ac:dyDescent="0.35">
      <c r="A808" s="314" t="s">
        <v>1080</v>
      </c>
      <c r="B808" s="315">
        <f t="shared" si="36"/>
        <v>0</v>
      </c>
      <c r="C808" s="315" t="str">
        <f t="shared" si="37"/>
        <v>Nariño</v>
      </c>
      <c r="D808" s="315" t="str">
        <f t="shared" si="38"/>
        <v>El Rosario, Nariño</v>
      </c>
      <c r="E808" s="311">
        <v>52256</v>
      </c>
      <c r="F808" s="312">
        <v>0.3</v>
      </c>
      <c r="G808" s="312">
        <v>0.3</v>
      </c>
      <c r="H808" s="312" t="s">
        <v>322</v>
      </c>
      <c r="I808" s="312">
        <v>0.11</v>
      </c>
      <c r="J808" s="313">
        <v>7.0000000000000007E-2</v>
      </c>
    </row>
    <row r="809" spans="1:10" ht="17.25" thickBot="1" x14ac:dyDescent="0.35">
      <c r="A809" s="314" t="s">
        <v>1081</v>
      </c>
      <c r="B809" s="315">
        <f t="shared" si="36"/>
        <v>0</v>
      </c>
      <c r="C809" s="315" t="str">
        <f t="shared" si="37"/>
        <v>Nariño</v>
      </c>
      <c r="D809" s="315" t="str">
        <f t="shared" si="38"/>
        <v>El Tablón, Nariño</v>
      </c>
      <c r="E809" s="311">
        <v>52258</v>
      </c>
      <c r="F809" s="312">
        <v>0.25</v>
      </c>
      <c r="G809" s="312">
        <v>0.25</v>
      </c>
      <c r="H809" s="312" t="s">
        <v>322</v>
      </c>
      <c r="I809" s="312">
        <v>0.16</v>
      </c>
      <c r="J809" s="313">
        <v>0.08</v>
      </c>
    </row>
    <row r="810" spans="1:10" ht="17.25" thickBot="1" x14ac:dyDescent="0.35">
      <c r="A810" s="314" t="s">
        <v>727</v>
      </c>
      <c r="B810" s="315">
        <f t="shared" si="36"/>
        <v>0</v>
      </c>
      <c r="C810" s="315" t="str">
        <f t="shared" si="37"/>
        <v>Nariño</v>
      </c>
      <c r="D810" s="315" t="str">
        <f t="shared" si="38"/>
        <v>El Tambo, Nariño</v>
      </c>
      <c r="E810" s="311">
        <v>52260</v>
      </c>
      <c r="F810" s="312">
        <v>0.25</v>
      </c>
      <c r="G810" s="312">
        <v>0.25</v>
      </c>
      <c r="H810" s="312" t="s">
        <v>322</v>
      </c>
      <c r="I810" s="312">
        <v>0.13</v>
      </c>
      <c r="J810" s="313">
        <v>0.08</v>
      </c>
    </row>
    <row r="811" spans="1:10" ht="17.25" thickBot="1" x14ac:dyDescent="0.35">
      <c r="A811" s="314" t="s">
        <v>1082</v>
      </c>
      <c r="B811" s="315">
        <f t="shared" si="36"/>
        <v>0</v>
      </c>
      <c r="C811" s="315" t="str">
        <f t="shared" si="37"/>
        <v>Nariño</v>
      </c>
      <c r="D811" s="315" t="str">
        <f t="shared" si="38"/>
        <v>Francisco Pizarro, Nariño</v>
      </c>
      <c r="E811" s="311">
        <v>52520</v>
      </c>
      <c r="F811" s="312">
        <v>0.5</v>
      </c>
      <c r="G811" s="312">
        <v>0.4</v>
      </c>
      <c r="H811" s="312" t="s">
        <v>322</v>
      </c>
      <c r="I811" s="312">
        <v>0.16</v>
      </c>
      <c r="J811" s="313">
        <v>0.08</v>
      </c>
    </row>
    <row r="812" spans="1:10" ht="17.25" thickBot="1" x14ac:dyDescent="0.35">
      <c r="A812" s="314" t="s">
        <v>1083</v>
      </c>
      <c r="B812" s="315">
        <f t="shared" si="36"/>
        <v>0</v>
      </c>
      <c r="C812" s="315" t="str">
        <f t="shared" si="37"/>
        <v>Nariño</v>
      </c>
      <c r="D812" s="315" t="str">
        <f t="shared" si="38"/>
        <v>Funes, Nariño</v>
      </c>
      <c r="E812" s="311">
        <v>52287</v>
      </c>
      <c r="F812" s="312">
        <v>0.25</v>
      </c>
      <c r="G812" s="312">
        <v>0.25</v>
      </c>
      <c r="H812" s="312" t="s">
        <v>322</v>
      </c>
      <c r="I812" s="312">
        <v>0.16</v>
      </c>
      <c r="J812" s="313">
        <v>0.08</v>
      </c>
    </row>
    <row r="813" spans="1:10" ht="17.25" thickBot="1" x14ac:dyDescent="0.35">
      <c r="A813" s="314" t="s">
        <v>1084</v>
      </c>
      <c r="B813" s="315">
        <f t="shared" si="36"/>
        <v>0</v>
      </c>
      <c r="C813" s="315" t="str">
        <f t="shared" si="37"/>
        <v>Nariño</v>
      </c>
      <c r="D813" s="315" t="str">
        <f t="shared" si="38"/>
        <v>Guachucal, Nariño</v>
      </c>
      <c r="E813" s="311">
        <v>52317</v>
      </c>
      <c r="F813" s="312">
        <v>0.25</v>
      </c>
      <c r="G813" s="312">
        <v>0.25</v>
      </c>
      <c r="H813" s="312" t="s">
        <v>322</v>
      </c>
      <c r="I813" s="312">
        <v>0.16</v>
      </c>
      <c r="J813" s="313">
        <v>0.08</v>
      </c>
    </row>
    <row r="814" spans="1:10" ht="17.25" thickBot="1" x14ac:dyDescent="0.35">
      <c r="A814" s="314" t="s">
        <v>1085</v>
      </c>
      <c r="B814" s="315">
        <f t="shared" si="36"/>
        <v>0</v>
      </c>
      <c r="C814" s="315" t="str">
        <f t="shared" si="37"/>
        <v>Nariño</v>
      </c>
      <c r="D814" s="315" t="str">
        <f t="shared" si="38"/>
        <v>Guaitarilla, Nariño</v>
      </c>
      <c r="E814" s="311">
        <v>52320</v>
      </c>
      <c r="F814" s="312">
        <v>0.25</v>
      </c>
      <c r="G814" s="312">
        <v>0.25</v>
      </c>
      <c r="H814" s="312" t="s">
        <v>322</v>
      </c>
      <c r="I814" s="312">
        <v>0.13</v>
      </c>
      <c r="J814" s="313">
        <v>0.08</v>
      </c>
    </row>
    <row r="815" spans="1:10" ht="17.25" thickBot="1" x14ac:dyDescent="0.35">
      <c r="A815" s="314" t="s">
        <v>1086</v>
      </c>
      <c r="B815" s="315">
        <f t="shared" si="36"/>
        <v>0</v>
      </c>
      <c r="C815" s="315" t="str">
        <f t="shared" si="37"/>
        <v>Nariño</v>
      </c>
      <c r="D815" s="315" t="str">
        <f t="shared" si="38"/>
        <v>Gualmatán, Nariño</v>
      </c>
      <c r="E815" s="311">
        <v>52323</v>
      </c>
      <c r="F815" s="312">
        <v>0.25</v>
      </c>
      <c r="G815" s="312">
        <v>0.25</v>
      </c>
      <c r="H815" s="312" t="s">
        <v>322</v>
      </c>
      <c r="I815" s="312">
        <v>0.12</v>
      </c>
      <c r="J815" s="313">
        <v>7.0000000000000007E-2</v>
      </c>
    </row>
    <row r="816" spans="1:10" ht="17.25" thickBot="1" x14ac:dyDescent="0.35">
      <c r="A816" s="314" t="s">
        <v>1087</v>
      </c>
      <c r="B816" s="315">
        <f t="shared" si="36"/>
        <v>0</v>
      </c>
      <c r="C816" s="315" t="str">
        <f t="shared" si="37"/>
        <v>Nariño</v>
      </c>
      <c r="D816" s="315" t="str">
        <f t="shared" si="38"/>
        <v>Iles, Nariño</v>
      </c>
      <c r="E816" s="311">
        <v>52352</v>
      </c>
      <c r="F816" s="312">
        <v>0.25</v>
      </c>
      <c r="G816" s="312">
        <v>0.25</v>
      </c>
      <c r="H816" s="312" t="s">
        <v>322</v>
      </c>
      <c r="I816" s="312">
        <v>0.11</v>
      </c>
      <c r="J816" s="313">
        <v>7.0000000000000007E-2</v>
      </c>
    </row>
    <row r="817" spans="1:10" ht="17.25" thickBot="1" x14ac:dyDescent="0.35">
      <c r="A817" s="314" t="s">
        <v>1088</v>
      </c>
      <c r="B817" s="315">
        <f t="shared" si="36"/>
        <v>0</v>
      </c>
      <c r="C817" s="315" t="str">
        <f t="shared" si="37"/>
        <v>Nariño</v>
      </c>
      <c r="D817" s="315" t="str">
        <f t="shared" si="38"/>
        <v>Imúes, Nariño</v>
      </c>
      <c r="E817" s="311">
        <v>52354</v>
      </c>
      <c r="F817" s="312">
        <v>0.25</v>
      </c>
      <c r="G817" s="312">
        <v>0.25</v>
      </c>
      <c r="H817" s="312" t="s">
        <v>322</v>
      </c>
      <c r="I817" s="312">
        <v>0.11</v>
      </c>
      <c r="J817" s="313">
        <v>7.0000000000000007E-2</v>
      </c>
    </row>
    <row r="818" spans="1:10" ht="17.25" thickBot="1" x14ac:dyDescent="0.35">
      <c r="A818" s="314" t="s">
        <v>1089</v>
      </c>
      <c r="B818" s="315">
        <f t="shared" si="36"/>
        <v>0</v>
      </c>
      <c r="C818" s="315" t="str">
        <f t="shared" si="37"/>
        <v>Nariño</v>
      </c>
      <c r="D818" s="315" t="str">
        <f t="shared" si="38"/>
        <v>Ipiales, Nariño</v>
      </c>
      <c r="E818" s="311">
        <v>52356</v>
      </c>
      <c r="F818" s="312">
        <v>0.3</v>
      </c>
      <c r="G818" s="312">
        <v>0.25</v>
      </c>
      <c r="H818" s="312" t="s">
        <v>322</v>
      </c>
      <c r="I818" s="312">
        <v>0.16</v>
      </c>
      <c r="J818" s="313">
        <v>0.08</v>
      </c>
    </row>
    <row r="819" spans="1:10" ht="17.25" thickBot="1" x14ac:dyDescent="0.35">
      <c r="A819" s="314" t="s">
        <v>1090</v>
      </c>
      <c r="B819" s="315">
        <f t="shared" si="36"/>
        <v>0</v>
      </c>
      <c r="C819" s="315" t="str">
        <f t="shared" si="37"/>
        <v>Nariño</v>
      </c>
      <c r="D819" s="315" t="str">
        <f t="shared" si="38"/>
        <v>La Cruz, Nariño</v>
      </c>
      <c r="E819" s="311">
        <v>52378</v>
      </c>
      <c r="F819" s="312">
        <v>0.25</v>
      </c>
      <c r="G819" s="312">
        <v>0.25</v>
      </c>
      <c r="H819" s="312" t="s">
        <v>322</v>
      </c>
      <c r="I819" s="312">
        <v>0.16</v>
      </c>
      <c r="J819" s="313">
        <v>0.08</v>
      </c>
    </row>
    <row r="820" spans="1:10" ht="17.25" thickBot="1" x14ac:dyDescent="0.35">
      <c r="A820" s="314" t="s">
        <v>1091</v>
      </c>
      <c r="B820" s="315">
        <f t="shared" si="36"/>
        <v>0</v>
      </c>
      <c r="C820" s="315" t="str">
        <f t="shared" si="37"/>
        <v>Nariño</v>
      </c>
      <c r="D820" s="315" t="str">
        <f t="shared" si="38"/>
        <v>La Florida, Nariño</v>
      </c>
      <c r="E820" s="311">
        <v>52381</v>
      </c>
      <c r="F820" s="312">
        <v>0.25</v>
      </c>
      <c r="G820" s="312">
        <v>0.25</v>
      </c>
      <c r="H820" s="312" t="s">
        <v>322</v>
      </c>
      <c r="I820" s="312">
        <v>0.12</v>
      </c>
      <c r="J820" s="313">
        <v>7.0000000000000007E-2</v>
      </c>
    </row>
    <row r="821" spans="1:10" ht="17.25" thickBot="1" x14ac:dyDescent="0.35">
      <c r="A821" s="314" t="s">
        <v>1092</v>
      </c>
      <c r="B821" s="315">
        <f t="shared" si="36"/>
        <v>0</v>
      </c>
      <c r="C821" s="315" t="str">
        <f t="shared" si="37"/>
        <v>Nariño</v>
      </c>
      <c r="D821" s="315" t="str">
        <f t="shared" si="38"/>
        <v>La Llanada, Nariño</v>
      </c>
      <c r="E821" s="311">
        <v>52385</v>
      </c>
      <c r="F821" s="312">
        <v>0.3</v>
      </c>
      <c r="G821" s="312">
        <v>0.3</v>
      </c>
      <c r="H821" s="312" t="s">
        <v>322</v>
      </c>
      <c r="I821" s="312">
        <v>0.11</v>
      </c>
      <c r="J821" s="313">
        <v>7.0000000000000007E-2</v>
      </c>
    </row>
    <row r="822" spans="1:10" ht="17.25" thickBot="1" x14ac:dyDescent="0.35">
      <c r="A822" s="314" t="s">
        <v>1093</v>
      </c>
      <c r="B822" s="315">
        <f t="shared" si="36"/>
        <v>0</v>
      </c>
      <c r="C822" s="315" t="str">
        <f t="shared" si="37"/>
        <v>Nariño</v>
      </c>
      <c r="D822" s="315" t="str">
        <f t="shared" si="38"/>
        <v>La Tola, Nariño</v>
      </c>
      <c r="E822" s="311">
        <v>52390</v>
      </c>
      <c r="F822" s="312">
        <v>0.5</v>
      </c>
      <c r="G822" s="312">
        <v>0.4</v>
      </c>
      <c r="H822" s="312" t="s">
        <v>322</v>
      </c>
      <c r="I822" s="312">
        <v>0.16</v>
      </c>
      <c r="J822" s="313">
        <v>0.08</v>
      </c>
    </row>
    <row r="823" spans="1:10" ht="17.25" thickBot="1" x14ac:dyDescent="0.35">
      <c r="A823" s="314" t="s">
        <v>401</v>
      </c>
      <c r="B823" s="315">
        <f t="shared" si="36"/>
        <v>0</v>
      </c>
      <c r="C823" s="315" t="str">
        <f t="shared" si="37"/>
        <v>Nariño</v>
      </c>
      <c r="D823" s="315" t="str">
        <f t="shared" si="38"/>
        <v>La Unión, Nariño</v>
      </c>
      <c r="E823" s="311">
        <v>52399</v>
      </c>
      <c r="F823" s="312">
        <v>0.25</v>
      </c>
      <c r="G823" s="312">
        <v>0.25</v>
      </c>
      <c r="H823" s="312" t="s">
        <v>322</v>
      </c>
      <c r="I823" s="312">
        <v>0.12</v>
      </c>
      <c r="J823" s="313">
        <v>7.0000000000000007E-2</v>
      </c>
    </row>
    <row r="824" spans="1:10" ht="17.25" thickBot="1" x14ac:dyDescent="0.35">
      <c r="A824" s="314" t="s">
        <v>1094</v>
      </c>
      <c r="B824" s="315">
        <f t="shared" si="36"/>
        <v>0</v>
      </c>
      <c r="C824" s="315" t="str">
        <f t="shared" si="37"/>
        <v>Nariño</v>
      </c>
      <c r="D824" s="315" t="str">
        <f t="shared" si="38"/>
        <v>Leiva, Nariño</v>
      </c>
      <c r="E824" s="311">
        <v>52405</v>
      </c>
      <c r="F824" s="312">
        <v>0.3</v>
      </c>
      <c r="G824" s="312">
        <v>0.25</v>
      </c>
      <c r="H824" s="312" t="s">
        <v>322</v>
      </c>
      <c r="I824" s="312">
        <v>0.15</v>
      </c>
      <c r="J824" s="313">
        <v>0.08</v>
      </c>
    </row>
    <row r="825" spans="1:10" ht="17.25" thickBot="1" x14ac:dyDescent="0.35">
      <c r="A825" s="314" t="s">
        <v>1095</v>
      </c>
      <c r="B825" s="315">
        <f t="shared" si="36"/>
        <v>0</v>
      </c>
      <c r="C825" s="315" t="str">
        <f t="shared" si="37"/>
        <v>Nariño</v>
      </c>
      <c r="D825" s="315" t="str">
        <f t="shared" si="38"/>
        <v>Linares, Nariño</v>
      </c>
      <c r="E825" s="311">
        <v>52411</v>
      </c>
      <c r="F825" s="312">
        <v>0.25</v>
      </c>
      <c r="G825" s="312">
        <v>0.25</v>
      </c>
      <c r="H825" s="312" t="s">
        <v>322</v>
      </c>
      <c r="I825" s="312">
        <v>0.16</v>
      </c>
      <c r="J825" s="313">
        <v>0.08</v>
      </c>
    </row>
    <row r="826" spans="1:10" ht="17.25" thickBot="1" x14ac:dyDescent="0.35">
      <c r="A826" s="314" t="s">
        <v>1096</v>
      </c>
      <c r="B826" s="315">
        <f t="shared" si="36"/>
        <v>0</v>
      </c>
      <c r="C826" s="315" t="str">
        <f t="shared" si="37"/>
        <v>Nariño</v>
      </c>
      <c r="D826" s="315" t="str">
        <f t="shared" si="38"/>
        <v>Los Andes, Nariño</v>
      </c>
      <c r="E826" s="311">
        <v>52418</v>
      </c>
      <c r="F826" s="312">
        <v>0.3</v>
      </c>
      <c r="G826" s="312">
        <v>0.3</v>
      </c>
      <c r="H826" s="312" t="s">
        <v>322</v>
      </c>
      <c r="I826" s="312">
        <v>0.12</v>
      </c>
      <c r="J826" s="313">
        <v>7.0000000000000007E-2</v>
      </c>
    </row>
    <row r="827" spans="1:10" ht="17.25" thickBot="1" x14ac:dyDescent="0.35">
      <c r="A827" s="314" t="s">
        <v>1097</v>
      </c>
      <c r="B827" s="315">
        <f t="shared" si="36"/>
        <v>0</v>
      </c>
      <c r="C827" s="315" t="str">
        <f t="shared" si="37"/>
        <v>Nariño</v>
      </c>
      <c r="D827" s="315" t="str">
        <f t="shared" si="38"/>
        <v>Magüí, Nariño</v>
      </c>
      <c r="E827" s="311">
        <v>52427</v>
      </c>
      <c r="F827" s="312">
        <v>0.4</v>
      </c>
      <c r="G827" s="312">
        <v>0.35</v>
      </c>
      <c r="H827" s="312" t="s">
        <v>322</v>
      </c>
      <c r="I827" s="312">
        <v>0.16</v>
      </c>
      <c r="J827" s="313">
        <v>0.08</v>
      </c>
    </row>
    <row r="828" spans="1:10" ht="17.25" thickBot="1" x14ac:dyDescent="0.35">
      <c r="A828" s="314" t="s">
        <v>1098</v>
      </c>
      <c r="B828" s="315">
        <f t="shared" si="36"/>
        <v>0</v>
      </c>
      <c r="C828" s="315" t="str">
        <f t="shared" si="37"/>
        <v>Nariño</v>
      </c>
      <c r="D828" s="315" t="str">
        <f t="shared" si="38"/>
        <v>Mallama, Nariño</v>
      </c>
      <c r="E828" s="311">
        <v>52435</v>
      </c>
      <c r="F828" s="312">
        <v>0.3</v>
      </c>
      <c r="G828" s="312">
        <v>0.25</v>
      </c>
      <c r="H828" s="312" t="s">
        <v>322</v>
      </c>
      <c r="I828" s="312">
        <v>0.16</v>
      </c>
      <c r="J828" s="313">
        <v>0.08</v>
      </c>
    </row>
    <row r="829" spans="1:10" ht="17.25" thickBot="1" x14ac:dyDescent="0.35">
      <c r="A829" s="314" t="s">
        <v>893</v>
      </c>
      <c r="B829" s="315">
        <f t="shared" si="36"/>
        <v>0</v>
      </c>
      <c r="C829" s="315" t="str">
        <f t="shared" si="37"/>
        <v>Nariño</v>
      </c>
      <c r="D829" s="315" t="str">
        <f t="shared" si="38"/>
        <v>Mosquera, Nariño</v>
      </c>
      <c r="E829" s="311">
        <v>52473</v>
      </c>
      <c r="F829" s="312">
        <v>0.5</v>
      </c>
      <c r="G829" s="312">
        <v>0.4</v>
      </c>
      <c r="H829" s="312" t="s">
        <v>322</v>
      </c>
      <c r="I829" s="312">
        <v>0.16</v>
      </c>
      <c r="J829" s="313">
        <v>0.08</v>
      </c>
    </row>
    <row r="830" spans="1:10" ht="17.25" thickBot="1" x14ac:dyDescent="0.35">
      <c r="A830" s="314" t="s">
        <v>1099</v>
      </c>
      <c r="B830" s="315">
        <f t="shared" si="36"/>
        <v>0</v>
      </c>
      <c r="C830" s="315" t="str">
        <f t="shared" si="37"/>
        <v>Nariño</v>
      </c>
      <c r="D830" s="315" t="str">
        <f t="shared" si="38"/>
        <v>Olaya Herrera, Nariño</v>
      </c>
      <c r="E830" s="311">
        <v>52490</v>
      </c>
      <c r="F830" s="312">
        <v>0.5</v>
      </c>
      <c r="G830" s="312">
        <v>0.4</v>
      </c>
      <c r="H830" s="312" t="s">
        <v>322</v>
      </c>
      <c r="I830" s="312">
        <v>0.16</v>
      </c>
      <c r="J830" s="313">
        <v>0.08</v>
      </c>
    </row>
    <row r="831" spans="1:10" ht="17.25" thickBot="1" x14ac:dyDescent="0.35">
      <c r="A831" s="314" t="s">
        <v>1100</v>
      </c>
      <c r="B831" s="315">
        <f t="shared" si="36"/>
        <v>0</v>
      </c>
      <c r="C831" s="315" t="str">
        <f t="shared" si="37"/>
        <v>Nariño</v>
      </c>
      <c r="D831" s="315" t="str">
        <f t="shared" si="38"/>
        <v>Ospina, Nariño</v>
      </c>
      <c r="E831" s="311">
        <v>52506</v>
      </c>
      <c r="F831" s="312">
        <v>0.25</v>
      </c>
      <c r="G831" s="312">
        <v>0.25</v>
      </c>
      <c r="H831" s="312" t="s">
        <v>322</v>
      </c>
      <c r="I831" s="312">
        <v>0.12</v>
      </c>
      <c r="J831" s="313">
        <v>0.08</v>
      </c>
    </row>
    <row r="832" spans="1:10" ht="17.25" thickBot="1" x14ac:dyDescent="0.35">
      <c r="A832" s="314" t="s">
        <v>1101</v>
      </c>
      <c r="B832" s="315">
        <f t="shared" si="36"/>
        <v>0</v>
      </c>
      <c r="C832" s="315" t="str">
        <f t="shared" si="37"/>
        <v>Nariño</v>
      </c>
      <c r="D832" s="315" t="str">
        <f t="shared" si="38"/>
        <v>Policarpa, Nariño</v>
      </c>
      <c r="E832" s="311">
        <v>52540</v>
      </c>
      <c r="F832" s="312">
        <v>0.3</v>
      </c>
      <c r="G832" s="312">
        <v>0.3</v>
      </c>
      <c r="H832" s="312" t="s">
        <v>322</v>
      </c>
      <c r="I832" s="312">
        <v>0.13</v>
      </c>
      <c r="J832" s="313">
        <v>0.08</v>
      </c>
    </row>
    <row r="833" spans="1:10" ht="17.25" thickBot="1" x14ac:dyDescent="0.35">
      <c r="A833" s="314" t="s">
        <v>1102</v>
      </c>
      <c r="B833" s="315">
        <f t="shared" si="36"/>
        <v>0</v>
      </c>
      <c r="C833" s="315" t="str">
        <f t="shared" si="37"/>
        <v>Nariño</v>
      </c>
      <c r="D833" s="315" t="str">
        <f t="shared" si="38"/>
        <v>Potosí, Nariño</v>
      </c>
      <c r="E833" s="311">
        <v>52560</v>
      </c>
      <c r="F833" s="312">
        <v>0.25</v>
      </c>
      <c r="G833" s="312">
        <v>0.25</v>
      </c>
      <c r="H833" s="312" t="s">
        <v>322</v>
      </c>
      <c r="I833" s="312">
        <v>0.16</v>
      </c>
      <c r="J833" s="313">
        <v>0.08</v>
      </c>
    </row>
    <row r="834" spans="1:10" ht="17.25" thickBot="1" x14ac:dyDescent="0.35">
      <c r="A834" s="314" t="s">
        <v>1103</v>
      </c>
      <c r="B834" s="315">
        <f t="shared" si="36"/>
        <v>0</v>
      </c>
      <c r="C834" s="315" t="str">
        <f t="shared" si="37"/>
        <v>Nariño</v>
      </c>
      <c r="D834" s="315" t="str">
        <f t="shared" si="38"/>
        <v>Providencia, Nariño</v>
      </c>
      <c r="E834" s="311">
        <v>52565</v>
      </c>
      <c r="F834" s="312">
        <v>0.25</v>
      </c>
      <c r="G834" s="312">
        <v>0.25</v>
      </c>
      <c r="H834" s="312" t="s">
        <v>322</v>
      </c>
      <c r="I834" s="312">
        <v>0.16</v>
      </c>
      <c r="J834" s="313">
        <v>0.08</v>
      </c>
    </row>
    <row r="835" spans="1:10" ht="17.25" thickBot="1" x14ac:dyDescent="0.35">
      <c r="A835" s="314" t="s">
        <v>1104</v>
      </c>
      <c r="B835" s="315">
        <f t="shared" ref="B835:B898" si="39">IFERROR(FIND("Departamento",A835),0)</f>
        <v>0</v>
      </c>
      <c r="C835" s="315" t="str">
        <f t="shared" ref="C835:C898" si="40">IF(B835=1,IF(ISERROR(FIND("del",A835)),MID(A835,17,30),MID(A835,18,30)),C834)</f>
        <v>Nariño</v>
      </c>
      <c r="D835" s="315" t="str">
        <f t="shared" ref="D835:D898" si="41">IF(B835=1,"",CONCATENATE(A835,", ",C835))</f>
        <v>Puerres, Nariño</v>
      </c>
      <c r="E835" s="311">
        <v>52573</v>
      </c>
      <c r="F835" s="312">
        <v>0.25</v>
      </c>
      <c r="G835" s="312">
        <v>0.25</v>
      </c>
      <c r="H835" s="312" t="s">
        <v>322</v>
      </c>
      <c r="I835" s="312">
        <v>0.16</v>
      </c>
      <c r="J835" s="313">
        <v>0.08</v>
      </c>
    </row>
    <row r="836" spans="1:10" ht="17.25" thickBot="1" x14ac:dyDescent="0.35">
      <c r="A836" s="314" t="s">
        <v>1105</v>
      </c>
      <c r="B836" s="315">
        <f t="shared" si="39"/>
        <v>0</v>
      </c>
      <c r="C836" s="315" t="str">
        <f t="shared" si="40"/>
        <v>Nariño</v>
      </c>
      <c r="D836" s="315" t="str">
        <f t="shared" si="41"/>
        <v>Pupiales, Nariño</v>
      </c>
      <c r="E836" s="311">
        <v>52585</v>
      </c>
      <c r="F836" s="312">
        <v>0.25</v>
      </c>
      <c r="G836" s="312">
        <v>0.25</v>
      </c>
      <c r="H836" s="312" t="s">
        <v>322</v>
      </c>
      <c r="I836" s="312">
        <v>0.12</v>
      </c>
      <c r="J836" s="313">
        <v>0.08</v>
      </c>
    </row>
    <row r="837" spans="1:10" ht="17.25" thickBot="1" x14ac:dyDescent="0.35">
      <c r="A837" s="314" t="s">
        <v>908</v>
      </c>
      <c r="B837" s="315">
        <f t="shared" si="39"/>
        <v>0</v>
      </c>
      <c r="C837" s="315" t="str">
        <f t="shared" si="40"/>
        <v>Nariño</v>
      </c>
      <c r="D837" s="315" t="str">
        <f t="shared" si="41"/>
        <v>Ricaurte, Nariño</v>
      </c>
      <c r="E837" s="311">
        <v>52612</v>
      </c>
      <c r="F837" s="312">
        <v>0.35</v>
      </c>
      <c r="G837" s="312">
        <v>0.3</v>
      </c>
      <c r="H837" s="312" t="s">
        <v>322</v>
      </c>
      <c r="I837" s="312">
        <v>0.16</v>
      </c>
      <c r="J837" s="313">
        <v>0.08</v>
      </c>
    </row>
    <row r="838" spans="1:10" ht="17.25" thickBot="1" x14ac:dyDescent="0.35">
      <c r="A838" s="314" t="s">
        <v>1106</v>
      </c>
      <c r="B838" s="315">
        <f t="shared" si="39"/>
        <v>0</v>
      </c>
      <c r="C838" s="315" t="str">
        <f t="shared" si="40"/>
        <v>Nariño</v>
      </c>
      <c r="D838" s="315" t="str">
        <f t="shared" si="41"/>
        <v>Roberto Payán, Nariño</v>
      </c>
      <c r="E838" s="311">
        <v>52621</v>
      </c>
      <c r="F838" s="312">
        <v>0.45</v>
      </c>
      <c r="G838" s="312">
        <v>0.4</v>
      </c>
      <c r="H838" s="312" t="s">
        <v>322</v>
      </c>
      <c r="I838" s="312">
        <v>0.16</v>
      </c>
      <c r="J838" s="313">
        <v>0.08</v>
      </c>
    </row>
    <row r="839" spans="1:10" ht="17.25" thickBot="1" x14ac:dyDescent="0.35">
      <c r="A839" s="314" t="s">
        <v>1107</v>
      </c>
      <c r="B839" s="315">
        <f t="shared" si="39"/>
        <v>0</v>
      </c>
      <c r="C839" s="315" t="str">
        <f t="shared" si="40"/>
        <v>Nariño</v>
      </c>
      <c r="D839" s="315" t="str">
        <f t="shared" si="41"/>
        <v>Samaniego, Nariño</v>
      </c>
      <c r="E839" s="311">
        <v>52678</v>
      </c>
      <c r="F839" s="312">
        <v>0.3</v>
      </c>
      <c r="G839" s="312">
        <v>0.3</v>
      </c>
      <c r="H839" s="312" t="s">
        <v>322</v>
      </c>
      <c r="I839" s="312">
        <v>0.13</v>
      </c>
      <c r="J839" s="313">
        <v>0.08</v>
      </c>
    </row>
    <row r="840" spans="1:10" ht="17.25" thickBot="1" x14ac:dyDescent="0.35">
      <c r="A840" s="314" t="s">
        <v>910</v>
      </c>
      <c r="B840" s="315">
        <f t="shared" si="39"/>
        <v>0</v>
      </c>
      <c r="C840" s="315" t="str">
        <f t="shared" si="40"/>
        <v>Nariño</v>
      </c>
      <c r="D840" s="315" t="str">
        <f t="shared" si="41"/>
        <v>San Bernardo, Nariño</v>
      </c>
      <c r="E840" s="311">
        <v>52685</v>
      </c>
      <c r="F840" s="312">
        <v>0.25</v>
      </c>
      <c r="G840" s="312">
        <v>0.25</v>
      </c>
      <c r="H840" s="312" t="s">
        <v>322</v>
      </c>
      <c r="I840" s="312">
        <v>0.16</v>
      </c>
      <c r="J840" s="313">
        <v>0.08</v>
      </c>
    </row>
    <row r="841" spans="1:10" ht="17.25" thickBot="1" x14ac:dyDescent="0.35">
      <c r="A841" s="314" t="s">
        <v>1108</v>
      </c>
      <c r="B841" s="315">
        <f t="shared" si="39"/>
        <v>0</v>
      </c>
      <c r="C841" s="315" t="str">
        <f t="shared" si="40"/>
        <v>Nariño</v>
      </c>
      <c r="D841" s="315" t="str">
        <f t="shared" si="41"/>
        <v>San Lorenzo, Nariño</v>
      </c>
      <c r="E841" s="311">
        <v>52687</v>
      </c>
      <c r="F841" s="312">
        <v>0.25</v>
      </c>
      <c r="G841" s="312">
        <v>0.25</v>
      </c>
      <c r="H841" s="312" t="s">
        <v>322</v>
      </c>
      <c r="I841" s="312">
        <v>0.11</v>
      </c>
      <c r="J841" s="313">
        <v>7.0000000000000007E-2</v>
      </c>
    </row>
    <row r="842" spans="1:10" ht="17.25" thickBot="1" x14ac:dyDescent="0.35">
      <c r="A842" s="314" t="s">
        <v>526</v>
      </c>
      <c r="B842" s="315">
        <f t="shared" si="39"/>
        <v>0</v>
      </c>
      <c r="C842" s="315" t="str">
        <f t="shared" si="40"/>
        <v>Nariño</v>
      </c>
      <c r="D842" s="315" t="str">
        <f t="shared" si="41"/>
        <v>San Pablo, Nariño</v>
      </c>
      <c r="E842" s="311">
        <v>52693</v>
      </c>
      <c r="F842" s="312">
        <v>0.25</v>
      </c>
      <c r="G842" s="312">
        <v>0.25</v>
      </c>
      <c r="H842" s="312" t="s">
        <v>322</v>
      </c>
      <c r="I842" s="312">
        <v>0.16</v>
      </c>
      <c r="J842" s="313">
        <v>0.08</v>
      </c>
    </row>
    <row r="843" spans="1:10" ht="17.25" thickBot="1" x14ac:dyDescent="0.35">
      <c r="A843" s="314" t="s">
        <v>1109</v>
      </c>
      <c r="B843" s="315">
        <f t="shared" si="39"/>
        <v>0</v>
      </c>
      <c r="C843" s="315" t="str">
        <f t="shared" si="40"/>
        <v>Nariño</v>
      </c>
      <c r="D843" s="315" t="str">
        <f t="shared" si="41"/>
        <v>San Pedro De Cartago, Nariño</v>
      </c>
      <c r="E843" s="311">
        <v>52694</v>
      </c>
      <c r="F843" s="312">
        <v>0.25</v>
      </c>
      <c r="G843" s="312">
        <v>0.25</v>
      </c>
      <c r="H843" s="312" t="s">
        <v>322</v>
      </c>
      <c r="I843" s="312">
        <v>0.15</v>
      </c>
      <c r="J843" s="313">
        <v>0.08</v>
      </c>
    </row>
    <row r="844" spans="1:10" ht="17.25" thickBot="1" x14ac:dyDescent="0.35">
      <c r="A844" s="314" t="s">
        <v>1110</v>
      </c>
      <c r="B844" s="315">
        <f t="shared" si="39"/>
        <v>0</v>
      </c>
      <c r="C844" s="315" t="str">
        <f t="shared" si="40"/>
        <v>Nariño</v>
      </c>
      <c r="D844" s="315" t="str">
        <f t="shared" si="41"/>
        <v>Sandoná, Nariño</v>
      </c>
      <c r="E844" s="311">
        <v>52683</v>
      </c>
      <c r="F844" s="312">
        <v>0.25</v>
      </c>
      <c r="G844" s="312">
        <v>0.25</v>
      </c>
      <c r="H844" s="312" t="s">
        <v>322</v>
      </c>
      <c r="I844" s="312">
        <v>0.13</v>
      </c>
      <c r="J844" s="313">
        <v>0.08</v>
      </c>
    </row>
    <row r="845" spans="1:10" ht="17.25" thickBot="1" x14ac:dyDescent="0.35">
      <c r="A845" s="314" t="s">
        <v>435</v>
      </c>
      <c r="B845" s="315">
        <f t="shared" si="39"/>
        <v>0</v>
      </c>
      <c r="C845" s="315" t="str">
        <f t="shared" si="40"/>
        <v>Nariño</v>
      </c>
      <c r="D845" s="315" t="str">
        <f t="shared" si="41"/>
        <v>Santa Bárbara, Nariño</v>
      </c>
      <c r="E845" s="311">
        <v>52696</v>
      </c>
      <c r="F845" s="312">
        <v>0.45</v>
      </c>
      <c r="G845" s="312">
        <v>0.35</v>
      </c>
      <c r="H845" s="312" t="s">
        <v>322</v>
      </c>
      <c r="I845" s="312">
        <v>0.16</v>
      </c>
      <c r="J845" s="313">
        <v>0.08</v>
      </c>
    </row>
    <row r="846" spans="1:10" ht="17.25" thickBot="1" x14ac:dyDescent="0.35">
      <c r="A846" s="314" t="s">
        <v>1111</v>
      </c>
      <c r="B846" s="315">
        <f t="shared" si="39"/>
        <v>0</v>
      </c>
      <c r="C846" s="315" t="str">
        <f t="shared" si="40"/>
        <v>Nariño</v>
      </c>
      <c r="D846" s="315" t="str">
        <f t="shared" si="41"/>
        <v>Santacruz, Nariño</v>
      </c>
      <c r="E846" s="311">
        <v>52699</v>
      </c>
      <c r="F846" s="312">
        <v>0.3</v>
      </c>
      <c r="G846" s="312">
        <v>0.25</v>
      </c>
      <c r="H846" s="312" t="s">
        <v>322</v>
      </c>
      <c r="I846" s="312">
        <v>0.16</v>
      </c>
      <c r="J846" s="313">
        <v>0.08</v>
      </c>
    </row>
    <row r="847" spans="1:10" ht="17.25" thickBot="1" x14ac:dyDescent="0.35">
      <c r="A847" s="314" t="s">
        <v>1112</v>
      </c>
      <c r="B847" s="315">
        <f t="shared" si="39"/>
        <v>0</v>
      </c>
      <c r="C847" s="315" t="str">
        <f t="shared" si="40"/>
        <v>Nariño</v>
      </c>
      <c r="D847" s="315" t="str">
        <f t="shared" si="41"/>
        <v>Sapuyés, Nariño</v>
      </c>
      <c r="E847" s="311">
        <v>52720</v>
      </c>
      <c r="F847" s="312">
        <v>0.25</v>
      </c>
      <c r="G847" s="312">
        <v>0.25</v>
      </c>
      <c r="H847" s="312" t="s">
        <v>322</v>
      </c>
      <c r="I847" s="312">
        <v>0.16</v>
      </c>
      <c r="J847" s="313">
        <v>0.08</v>
      </c>
    </row>
    <row r="848" spans="1:10" ht="17.25" thickBot="1" x14ac:dyDescent="0.35">
      <c r="A848" s="314" t="s">
        <v>1113</v>
      </c>
      <c r="B848" s="315">
        <f t="shared" si="39"/>
        <v>0</v>
      </c>
      <c r="C848" s="315" t="str">
        <f t="shared" si="40"/>
        <v>Nariño</v>
      </c>
      <c r="D848" s="315" t="str">
        <f t="shared" si="41"/>
        <v>Taminango, Nariño</v>
      </c>
      <c r="E848" s="311">
        <v>52786</v>
      </c>
      <c r="F848" s="312">
        <v>0.25</v>
      </c>
      <c r="G848" s="312">
        <v>0.25</v>
      </c>
      <c r="H848" s="312" t="s">
        <v>322</v>
      </c>
      <c r="I848" s="312">
        <v>0.15</v>
      </c>
      <c r="J848" s="313">
        <v>0.08</v>
      </c>
    </row>
    <row r="849" spans="1:10" ht="17.25" thickBot="1" x14ac:dyDescent="0.35">
      <c r="A849" s="314" t="s">
        <v>1114</v>
      </c>
      <c r="B849" s="315">
        <f t="shared" si="39"/>
        <v>0</v>
      </c>
      <c r="C849" s="315" t="str">
        <f t="shared" si="40"/>
        <v>Nariño</v>
      </c>
      <c r="D849" s="315" t="str">
        <f t="shared" si="41"/>
        <v>Tangua, Nariño</v>
      </c>
      <c r="E849" s="311">
        <v>52788</v>
      </c>
      <c r="F849" s="312">
        <v>0.25</v>
      </c>
      <c r="G849" s="312">
        <v>0.25</v>
      </c>
      <c r="H849" s="312" t="s">
        <v>322</v>
      </c>
      <c r="I849" s="312">
        <v>0.13</v>
      </c>
      <c r="J849" s="313">
        <v>0.08</v>
      </c>
    </row>
    <row r="850" spans="1:10" ht="17.25" thickBot="1" x14ac:dyDescent="0.35">
      <c r="A850" s="314" t="s">
        <v>1115</v>
      </c>
      <c r="B850" s="315">
        <f t="shared" si="39"/>
        <v>0</v>
      </c>
      <c r="C850" s="315" t="str">
        <f t="shared" si="40"/>
        <v>Nariño</v>
      </c>
      <c r="D850" s="315" t="str">
        <f t="shared" si="41"/>
        <v>Tumaco, Nariño</v>
      </c>
      <c r="E850" s="311">
        <v>52835</v>
      </c>
      <c r="F850" s="312">
        <v>0.45</v>
      </c>
      <c r="G850" s="312">
        <v>0.4</v>
      </c>
      <c r="H850" s="312" t="s">
        <v>322</v>
      </c>
      <c r="I850" s="312">
        <v>0.16</v>
      </c>
      <c r="J850" s="313">
        <v>0.08</v>
      </c>
    </row>
    <row r="851" spans="1:10" ht="17.25" thickBot="1" x14ac:dyDescent="0.35">
      <c r="A851" s="314" t="s">
        <v>1116</v>
      </c>
      <c r="B851" s="315">
        <f t="shared" si="39"/>
        <v>0</v>
      </c>
      <c r="C851" s="315" t="str">
        <f t="shared" si="40"/>
        <v>Nariño</v>
      </c>
      <c r="D851" s="315" t="str">
        <f t="shared" si="41"/>
        <v>Túquerres, Nariño</v>
      </c>
      <c r="E851" s="311">
        <v>52838</v>
      </c>
      <c r="F851" s="312">
        <v>0.25</v>
      </c>
      <c r="G851" s="312">
        <v>0.25</v>
      </c>
      <c r="H851" s="312" t="s">
        <v>322</v>
      </c>
      <c r="I851" s="312">
        <v>0.16</v>
      </c>
      <c r="J851" s="313">
        <v>0.08</v>
      </c>
    </row>
    <row r="852" spans="1:10" ht="17.25" thickBot="1" x14ac:dyDescent="0.35">
      <c r="A852" s="314" t="s">
        <v>1117</v>
      </c>
      <c r="B852" s="315">
        <f t="shared" si="39"/>
        <v>0</v>
      </c>
      <c r="C852" s="315" t="str">
        <f t="shared" si="40"/>
        <v>Nariño</v>
      </c>
      <c r="D852" s="315" t="str">
        <f t="shared" si="41"/>
        <v>Yacuanquer, Nariño</v>
      </c>
      <c r="E852" s="311">
        <v>52885</v>
      </c>
      <c r="F852" s="312">
        <v>0.25</v>
      </c>
      <c r="G852" s="312">
        <v>0.25</v>
      </c>
      <c r="H852" s="312" t="s">
        <v>322</v>
      </c>
      <c r="I852" s="312">
        <v>0.11</v>
      </c>
      <c r="J852" s="313">
        <v>7.0000000000000007E-2</v>
      </c>
    </row>
    <row r="853" spans="1:10" ht="17.25" thickBot="1" x14ac:dyDescent="0.35">
      <c r="A853" s="299" t="s">
        <v>1118</v>
      </c>
      <c r="B853" s="300">
        <f t="shared" si="39"/>
        <v>1</v>
      </c>
      <c r="C853" s="300" t="str">
        <f t="shared" si="40"/>
        <v>Norte De Santander</v>
      </c>
      <c r="D853" s="300" t="str">
        <f t="shared" si="41"/>
        <v/>
      </c>
      <c r="E853" s="301"/>
      <c r="F853" s="302"/>
      <c r="G853" s="302"/>
      <c r="H853" s="302"/>
      <c r="I853" s="302"/>
      <c r="J853" s="303"/>
    </row>
    <row r="854" spans="1:10" ht="17.25" thickBot="1" x14ac:dyDescent="0.35">
      <c r="A854" s="309" t="s">
        <v>1119</v>
      </c>
      <c r="B854" s="310">
        <f t="shared" si="39"/>
        <v>0</v>
      </c>
      <c r="C854" s="310" t="str">
        <f t="shared" si="40"/>
        <v>Norte De Santander</v>
      </c>
      <c r="D854" s="310" t="str">
        <f t="shared" si="41"/>
        <v>Cúcuta, Norte De Santander</v>
      </c>
      <c r="E854" s="311">
        <v>54001</v>
      </c>
      <c r="F854" s="312">
        <v>0.35</v>
      </c>
      <c r="G854" s="312">
        <v>0.3</v>
      </c>
      <c r="H854" s="312" t="s">
        <v>322</v>
      </c>
      <c r="I854" s="312">
        <v>0.25</v>
      </c>
      <c r="J854" s="313">
        <v>0.1</v>
      </c>
    </row>
    <row r="855" spans="1:10" ht="17.25" thickBot="1" x14ac:dyDescent="0.35">
      <c r="A855" s="314" t="s">
        <v>1120</v>
      </c>
      <c r="B855" s="315">
        <f t="shared" si="39"/>
        <v>0</v>
      </c>
      <c r="C855" s="315" t="str">
        <f t="shared" si="40"/>
        <v>Norte De Santander</v>
      </c>
      <c r="D855" s="315" t="str">
        <f t="shared" si="41"/>
        <v>Abrego, Norte De Santander</v>
      </c>
      <c r="E855" s="311">
        <v>54003</v>
      </c>
      <c r="F855" s="312">
        <v>0.25</v>
      </c>
      <c r="G855" s="312">
        <v>0.2</v>
      </c>
      <c r="H855" s="312" t="s">
        <v>322</v>
      </c>
      <c r="I855" s="312">
        <v>7.0000000000000007E-2</v>
      </c>
      <c r="J855" s="313">
        <v>0.04</v>
      </c>
    </row>
    <row r="856" spans="1:10" ht="17.25" thickBot="1" x14ac:dyDescent="0.35">
      <c r="A856" s="314" t="s">
        <v>1121</v>
      </c>
      <c r="B856" s="315">
        <f t="shared" si="39"/>
        <v>0</v>
      </c>
      <c r="C856" s="315" t="str">
        <f t="shared" si="40"/>
        <v>Norte De Santander</v>
      </c>
      <c r="D856" s="315" t="str">
        <f t="shared" si="41"/>
        <v>Arboledas, Norte De Santander</v>
      </c>
      <c r="E856" s="311">
        <v>54051</v>
      </c>
      <c r="F856" s="312">
        <v>0.3</v>
      </c>
      <c r="G856" s="312">
        <v>0.25</v>
      </c>
      <c r="H856" s="312" t="s">
        <v>322</v>
      </c>
      <c r="I856" s="312">
        <v>0.08</v>
      </c>
      <c r="J856" s="313">
        <v>0.04</v>
      </c>
    </row>
    <row r="857" spans="1:10" ht="17.25" thickBot="1" x14ac:dyDescent="0.35">
      <c r="A857" s="314" t="s">
        <v>1122</v>
      </c>
      <c r="B857" s="315">
        <f t="shared" si="39"/>
        <v>0</v>
      </c>
      <c r="C857" s="315" t="str">
        <f t="shared" si="40"/>
        <v>Norte De Santander</v>
      </c>
      <c r="D857" s="315" t="str">
        <f t="shared" si="41"/>
        <v>Bochalema, Norte De Santander</v>
      </c>
      <c r="E857" s="311">
        <v>54099</v>
      </c>
      <c r="F857" s="312">
        <v>0.35</v>
      </c>
      <c r="G857" s="312">
        <v>0.25</v>
      </c>
      <c r="H857" s="312" t="s">
        <v>322</v>
      </c>
      <c r="I857" s="312">
        <v>0.13</v>
      </c>
      <c r="J857" s="313">
        <v>0.06</v>
      </c>
    </row>
    <row r="858" spans="1:10" ht="17.25" thickBot="1" x14ac:dyDescent="0.35">
      <c r="A858" s="314" t="s">
        <v>1123</v>
      </c>
      <c r="B858" s="315">
        <f t="shared" si="39"/>
        <v>0</v>
      </c>
      <c r="C858" s="315" t="str">
        <f t="shared" si="40"/>
        <v>Norte De Santander</v>
      </c>
      <c r="D858" s="315" t="str">
        <f t="shared" si="41"/>
        <v>Bucarasica, Norte De Santander</v>
      </c>
      <c r="E858" s="311">
        <v>54109</v>
      </c>
      <c r="F858" s="312">
        <v>0.3</v>
      </c>
      <c r="G858" s="312">
        <v>0.25</v>
      </c>
      <c r="H858" s="312" t="s">
        <v>322</v>
      </c>
      <c r="I858" s="312">
        <v>0.09</v>
      </c>
      <c r="J858" s="313">
        <v>0.04</v>
      </c>
    </row>
    <row r="859" spans="1:10" ht="17.25" thickBot="1" x14ac:dyDescent="0.35">
      <c r="A859" s="314" t="s">
        <v>1124</v>
      </c>
      <c r="B859" s="315">
        <f t="shared" si="39"/>
        <v>0</v>
      </c>
      <c r="C859" s="315" t="str">
        <f t="shared" si="40"/>
        <v>Norte De Santander</v>
      </c>
      <c r="D859" s="315" t="str">
        <f t="shared" si="41"/>
        <v>Cáchira, Norte De Santander</v>
      </c>
      <c r="E859" s="311">
        <v>54128</v>
      </c>
      <c r="F859" s="312">
        <v>0.25</v>
      </c>
      <c r="G859" s="312">
        <v>0.25</v>
      </c>
      <c r="H859" s="312" t="s">
        <v>322</v>
      </c>
      <c r="I859" s="312">
        <v>7.0000000000000007E-2</v>
      </c>
      <c r="J859" s="313">
        <v>0.04</v>
      </c>
    </row>
    <row r="860" spans="1:10" ht="17.25" thickBot="1" x14ac:dyDescent="0.35">
      <c r="A860" s="314" t="s">
        <v>1125</v>
      </c>
      <c r="B860" s="315">
        <f t="shared" si="39"/>
        <v>0</v>
      </c>
      <c r="C860" s="315" t="str">
        <f t="shared" si="40"/>
        <v>Norte De Santander</v>
      </c>
      <c r="D860" s="315" t="str">
        <f t="shared" si="41"/>
        <v>Cácota, Norte De Santander</v>
      </c>
      <c r="E860" s="311">
        <v>54125</v>
      </c>
      <c r="F860" s="312">
        <v>0.3</v>
      </c>
      <c r="G860" s="312">
        <v>0.25</v>
      </c>
      <c r="H860" s="312" t="s">
        <v>322</v>
      </c>
      <c r="I860" s="312">
        <v>0.1</v>
      </c>
      <c r="J860" s="313">
        <v>0.05</v>
      </c>
    </row>
    <row r="861" spans="1:10" ht="17.25" thickBot="1" x14ac:dyDescent="0.35">
      <c r="A861" s="314" t="s">
        <v>1126</v>
      </c>
      <c r="B861" s="315">
        <f t="shared" si="39"/>
        <v>0</v>
      </c>
      <c r="C861" s="315" t="str">
        <f t="shared" si="40"/>
        <v>Norte De Santander</v>
      </c>
      <c r="D861" s="315" t="str">
        <f t="shared" si="41"/>
        <v>Chinácota, Norte De Santander</v>
      </c>
      <c r="E861" s="311">
        <v>54172</v>
      </c>
      <c r="F861" s="312">
        <v>0.35</v>
      </c>
      <c r="G861" s="312">
        <v>0.3</v>
      </c>
      <c r="H861" s="312" t="s">
        <v>322</v>
      </c>
      <c r="I861" s="312">
        <v>0.16</v>
      </c>
      <c r="J861" s="313">
        <v>7.0000000000000007E-2</v>
      </c>
    </row>
    <row r="862" spans="1:10" ht="17.25" thickBot="1" x14ac:dyDescent="0.35">
      <c r="A862" s="314" t="s">
        <v>1127</v>
      </c>
      <c r="B862" s="315">
        <f t="shared" si="39"/>
        <v>0</v>
      </c>
      <c r="C862" s="315" t="str">
        <f t="shared" si="40"/>
        <v>Norte De Santander</v>
      </c>
      <c r="D862" s="315" t="str">
        <f t="shared" si="41"/>
        <v>Chitagá, Norte De Santander</v>
      </c>
      <c r="E862" s="311">
        <v>54174</v>
      </c>
      <c r="F862" s="312">
        <v>0.3</v>
      </c>
      <c r="G862" s="312">
        <v>0.3</v>
      </c>
      <c r="H862" s="312" t="s">
        <v>322</v>
      </c>
      <c r="I862" s="312">
        <v>0.11</v>
      </c>
      <c r="J862" s="313">
        <v>0.05</v>
      </c>
    </row>
    <row r="863" spans="1:10" ht="17.25" thickBot="1" x14ac:dyDescent="0.35">
      <c r="A863" s="314" t="s">
        <v>1128</v>
      </c>
      <c r="B863" s="315">
        <f t="shared" si="39"/>
        <v>0</v>
      </c>
      <c r="C863" s="315" t="str">
        <f t="shared" si="40"/>
        <v>Norte De Santander</v>
      </c>
      <c r="D863" s="315" t="str">
        <f t="shared" si="41"/>
        <v>Convención, Norte De Santander</v>
      </c>
      <c r="E863" s="311">
        <v>54206</v>
      </c>
      <c r="F863" s="312">
        <v>0.2</v>
      </c>
      <c r="G863" s="312">
        <v>0.15</v>
      </c>
      <c r="H863" s="312" t="s">
        <v>40</v>
      </c>
      <c r="I863" s="312">
        <v>0.04</v>
      </c>
      <c r="J863" s="313">
        <v>0.02</v>
      </c>
    </row>
    <row r="864" spans="1:10" ht="17.25" thickBot="1" x14ac:dyDescent="0.35">
      <c r="A864" s="314" t="s">
        <v>1129</v>
      </c>
      <c r="B864" s="315">
        <f t="shared" si="39"/>
        <v>0</v>
      </c>
      <c r="C864" s="315" t="str">
        <f t="shared" si="40"/>
        <v>Norte De Santander</v>
      </c>
      <c r="D864" s="315" t="str">
        <f t="shared" si="41"/>
        <v>Cucutilla, Norte De Santander</v>
      </c>
      <c r="E864" s="311">
        <v>54223</v>
      </c>
      <c r="F864" s="312">
        <v>0.3</v>
      </c>
      <c r="G864" s="312">
        <v>0.25</v>
      </c>
      <c r="H864" s="312" t="s">
        <v>322</v>
      </c>
      <c r="I864" s="312">
        <v>0.08</v>
      </c>
      <c r="J864" s="313">
        <v>0.04</v>
      </c>
    </row>
    <row r="865" spans="1:10" ht="17.25" thickBot="1" x14ac:dyDescent="0.35">
      <c r="A865" s="314" t="s">
        <v>1130</v>
      </c>
      <c r="B865" s="315">
        <f t="shared" si="39"/>
        <v>0</v>
      </c>
      <c r="C865" s="315" t="str">
        <f t="shared" si="40"/>
        <v>Norte De Santander</v>
      </c>
      <c r="D865" s="315" t="str">
        <f t="shared" si="41"/>
        <v>Durania, Norte De Santander</v>
      </c>
      <c r="E865" s="311">
        <v>54239</v>
      </c>
      <c r="F865" s="312">
        <v>0.35</v>
      </c>
      <c r="G865" s="312">
        <v>0.25</v>
      </c>
      <c r="H865" s="312" t="s">
        <v>322</v>
      </c>
      <c r="I865" s="312">
        <v>0.14000000000000001</v>
      </c>
      <c r="J865" s="313">
        <v>0.06</v>
      </c>
    </row>
    <row r="866" spans="1:10" ht="17.25" thickBot="1" x14ac:dyDescent="0.35">
      <c r="A866" s="314" t="s">
        <v>1131</v>
      </c>
      <c r="B866" s="315">
        <f t="shared" si="39"/>
        <v>0</v>
      </c>
      <c r="C866" s="315" t="str">
        <f t="shared" si="40"/>
        <v>Norte De Santander</v>
      </c>
      <c r="D866" s="315" t="str">
        <f t="shared" si="41"/>
        <v>El Carmen, Norte De Santander</v>
      </c>
      <c r="E866" s="311">
        <v>54245</v>
      </c>
      <c r="F866" s="312">
        <v>0.15</v>
      </c>
      <c r="G866" s="312">
        <v>0.1</v>
      </c>
      <c r="H866" s="312" t="s">
        <v>40</v>
      </c>
      <c r="I866" s="312">
        <v>0.04</v>
      </c>
      <c r="J866" s="313">
        <v>0.02</v>
      </c>
    </row>
    <row r="867" spans="1:10" ht="17.25" thickBot="1" x14ac:dyDescent="0.35">
      <c r="A867" s="314" t="s">
        <v>1132</v>
      </c>
      <c r="B867" s="315">
        <f t="shared" si="39"/>
        <v>0</v>
      </c>
      <c r="C867" s="315" t="str">
        <f t="shared" si="40"/>
        <v>Norte De Santander</v>
      </c>
      <c r="D867" s="315" t="str">
        <f t="shared" si="41"/>
        <v>El Tarra, Norte De Santander</v>
      </c>
      <c r="E867" s="311">
        <v>54250</v>
      </c>
      <c r="F867" s="312">
        <v>0.2</v>
      </c>
      <c r="G867" s="312">
        <v>0.15</v>
      </c>
      <c r="H867" s="312" t="s">
        <v>40</v>
      </c>
      <c r="I867" s="312">
        <v>0.05</v>
      </c>
      <c r="J867" s="313">
        <v>0.03</v>
      </c>
    </row>
    <row r="868" spans="1:10" ht="17.25" thickBot="1" x14ac:dyDescent="0.35">
      <c r="A868" s="314" t="s">
        <v>1133</v>
      </c>
      <c r="B868" s="315">
        <f t="shared" si="39"/>
        <v>0</v>
      </c>
      <c r="C868" s="315" t="str">
        <f t="shared" si="40"/>
        <v>Norte De Santander</v>
      </c>
      <c r="D868" s="315" t="str">
        <f t="shared" si="41"/>
        <v>El Zulia, Norte De Santander</v>
      </c>
      <c r="E868" s="311">
        <v>54261</v>
      </c>
      <c r="F868" s="312">
        <v>0.35</v>
      </c>
      <c r="G868" s="312">
        <v>0.25</v>
      </c>
      <c r="H868" s="312" t="s">
        <v>322</v>
      </c>
      <c r="I868" s="312">
        <v>0.22</v>
      </c>
      <c r="J868" s="313">
        <v>0.09</v>
      </c>
    </row>
    <row r="869" spans="1:10" ht="17.25" thickBot="1" x14ac:dyDescent="0.35">
      <c r="A869" s="314" t="s">
        <v>1134</v>
      </c>
      <c r="B869" s="315">
        <f t="shared" si="39"/>
        <v>0</v>
      </c>
      <c r="C869" s="315" t="str">
        <f t="shared" si="40"/>
        <v>Norte De Santander</v>
      </c>
      <c r="D869" s="315" t="str">
        <f t="shared" si="41"/>
        <v>Gramalote, Norte De Santander</v>
      </c>
      <c r="E869" s="311">
        <v>54313</v>
      </c>
      <c r="F869" s="312">
        <v>0.3</v>
      </c>
      <c r="G869" s="312">
        <v>0.25</v>
      </c>
      <c r="H869" s="312" t="s">
        <v>322</v>
      </c>
      <c r="I869" s="312">
        <v>0.11</v>
      </c>
      <c r="J869" s="313">
        <v>0.05</v>
      </c>
    </row>
    <row r="870" spans="1:10" ht="17.25" thickBot="1" x14ac:dyDescent="0.35">
      <c r="A870" s="314" t="s">
        <v>1135</v>
      </c>
      <c r="B870" s="315">
        <f t="shared" si="39"/>
        <v>0</v>
      </c>
      <c r="C870" s="315" t="str">
        <f t="shared" si="40"/>
        <v>Norte De Santander</v>
      </c>
      <c r="D870" s="315" t="str">
        <f t="shared" si="41"/>
        <v>Hacarí, Norte De Santander</v>
      </c>
      <c r="E870" s="311">
        <v>54344</v>
      </c>
      <c r="F870" s="312">
        <v>0.25</v>
      </c>
      <c r="G870" s="312">
        <v>0.2</v>
      </c>
      <c r="H870" s="312" t="s">
        <v>322</v>
      </c>
      <c r="I870" s="312">
        <v>0.06</v>
      </c>
      <c r="J870" s="313">
        <v>0.03</v>
      </c>
    </row>
    <row r="871" spans="1:10" ht="17.25" thickBot="1" x14ac:dyDescent="0.35">
      <c r="A871" s="314" t="s">
        <v>1136</v>
      </c>
      <c r="B871" s="315">
        <f t="shared" si="39"/>
        <v>0</v>
      </c>
      <c r="C871" s="315" t="str">
        <f t="shared" si="40"/>
        <v>Norte De Santander</v>
      </c>
      <c r="D871" s="315" t="str">
        <f t="shared" si="41"/>
        <v>Herrán, Norte De Santander</v>
      </c>
      <c r="E871" s="311">
        <v>54347</v>
      </c>
      <c r="F871" s="312">
        <v>0.35</v>
      </c>
      <c r="G871" s="312">
        <v>0.3</v>
      </c>
      <c r="H871" s="312" t="s">
        <v>322</v>
      </c>
      <c r="I871" s="312">
        <v>0.19</v>
      </c>
      <c r="J871" s="313">
        <v>0.08</v>
      </c>
    </row>
    <row r="872" spans="1:10" ht="17.25" thickBot="1" x14ac:dyDescent="0.35">
      <c r="A872" s="314" t="s">
        <v>1137</v>
      </c>
      <c r="B872" s="315">
        <f t="shared" si="39"/>
        <v>0</v>
      </c>
      <c r="C872" s="315" t="str">
        <f t="shared" si="40"/>
        <v>Norte De Santander</v>
      </c>
      <c r="D872" s="315" t="str">
        <f t="shared" si="41"/>
        <v>La Esperanza, Norte De Santander</v>
      </c>
      <c r="E872" s="311">
        <v>54385</v>
      </c>
      <c r="F872" s="312">
        <v>0.2</v>
      </c>
      <c r="G872" s="312">
        <v>0.2</v>
      </c>
      <c r="H872" s="312" t="s">
        <v>40</v>
      </c>
      <c r="I872" s="312">
        <v>0.05</v>
      </c>
      <c r="J872" s="313">
        <v>0.03</v>
      </c>
    </row>
    <row r="873" spans="1:10" ht="17.25" thickBot="1" x14ac:dyDescent="0.35">
      <c r="A873" s="314" t="s">
        <v>1138</v>
      </c>
      <c r="B873" s="315">
        <f t="shared" si="39"/>
        <v>0</v>
      </c>
      <c r="C873" s="315" t="str">
        <f t="shared" si="40"/>
        <v>Norte De Santander</v>
      </c>
      <c r="D873" s="315" t="str">
        <f t="shared" si="41"/>
        <v>La Playa, Norte De Santander</v>
      </c>
      <c r="E873" s="311">
        <v>54398</v>
      </c>
      <c r="F873" s="312">
        <v>0.2</v>
      </c>
      <c r="G873" s="312">
        <v>0.15</v>
      </c>
      <c r="H873" s="312" t="s">
        <v>40</v>
      </c>
      <c r="I873" s="312">
        <v>0.06</v>
      </c>
      <c r="J873" s="313">
        <v>0.03</v>
      </c>
    </row>
    <row r="874" spans="1:10" ht="17.25" thickBot="1" x14ac:dyDescent="0.35">
      <c r="A874" s="314" t="s">
        <v>1139</v>
      </c>
      <c r="B874" s="315">
        <f t="shared" si="39"/>
        <v>0</v>
      </c>
      <c r="C874" s="315" t="str">
        <f t="shared" si="40"/>
        <v>Norte De Santander</v>
      </c>
      <c r="D874" s="315" t="str">
        <f t="shared" si="41"/>
        <v>Labateca, Norte De Santander</v>
      </c>
      <c r="E874" s="311">
        <v>54377</v>
      </c>
      <c r="F874" s="312">
        <v>0.35</v>
      </c>
      <c r="G874" s="312">
        <v>0.3</v>
      </c>
      <c r="H874" s="312" t="s">
        <v>322</v>
      </c>
      <c r="I874" s="312">
        <v>0.14000000000000001</v>
      </c>
      <c r="J874" s="313">
        <v>0.06</v>
      </c>
    </row>
    <row r="875" spans="1:10" ht="17.25" thickBot="1" x14ac:dyDescent="0.35">
      <c r="A875" s="314" t="s">
        <v>1140</v>
      </c>
      <c r="B875" s="315">
        <f t="shared" si="39"/>
        <v>0</v>
      </c>
      <c r="C875" s="315" t="str">
        <f t="shared" si="40"/>
        <v>Norte De Santander</v>
      </c>
      <c r="D875" s="315" t="str">
        <f t="shared" si="41"/>
        <v>Los Patios, Norte De Santander</v>
      </c>
      <c r="E875" s="311">
        <v>54405</v>
      </c>
      <c r="F875" s="312">
        <v>0.35</v>
      </c>
      <c r="G875" s="312">
        <v>0.3</v>
      </c>
      <c r="H875" s="312" t="s">
        <v>322</v>
      </c>
      <c r="I875" s="312">
        <v>0.22</v>
      </c>
      <c r="J875" s="313">
        <v>0.09</v>
      </c>
    </row>
    <row r="876" spans="1:10" ht="17.25" thickBot="1" x14ac:dyDescent="0.35">
      <c r="A876" s="314" t="s">
        <v>1141</v>
      </c>
      <c r="B876" s="315">
        <f t="shared" si="39"/>
        <v>0</v>
      </c>
      <c r="C876" s="315" t="str">
        <f t="shared" si="40"/>
        <v>Norte De Santander</v>
      </c>
      <c r="D876" s="315" t="str">
        <f t="shared" si="41"/>
        <v>Lourdes, Norte De Santander</v>
      </c>
      <c r="E876" s="311">
        <v>54418</v>
      </c>
      <c r="F876" s="312">
        <v>0.3</v>
      </c>
      <c r="G876" s="312">
        <v>0.25</v>
      </c>
      <c r="H876" s="312" t="s">
        <v>322</v>
      </c>
      <c r="I876" s="312">
        <v>0.11</v>
      </c>
      <c r="J876" s="313">
        <v>0.05</v>
      </c>
    </row>
    <row r="877" spans="1:10" ht="17.25" thickBot="1" x14ac:dyDescent="0.35">
      <c r="A877" s="314" t="s">
        <v>1142</v>
      </c>
      <c r="B877" s="315">
        <f t="shared" si="39"/>
        <v>0</v>
      </c>
      <c r="C877" s="315" t="str">
        <f t="shared" si="40"/>
        <v>Norte De Santander</v>
      </c>
      <c r="D877" s="315" t="str">
        <f t="shared" si="41"/>
        <v>Mutiscua, Norte De Santander</v>
      </c>
      <c r="E877" s="311">
        <v>54480</v>
      </c>
      <c r="F877" s="312">
        <v>0.3</v>
      </c>
      <c r="G877" s="312">
        <v>0.25</v>
      </c>
      <c r="H877" s="312" t="s">
        <v>322</v>
      </c>
      <c r="I877" s="312">
        <v>0.08</v>
      </c>
      <c r="J877" s="313">
        <v>0.04</v>
      </c>
    </row>
    <row r="878" spans="1:10" ht="17.25" thickBot="1" x14ac:dyDescent="0.35">
      <c r="A878" s="314" t="s">
        <v>1143</v>
      </c>
      <c r="B878" s="315">
        <f t="shared" si="39"/>
        <v>0</v>
      </c>
      <c r="C878" s="315" t="str">
        <f t="shared" si="40"/>
        <v>Norte De Santander</v>
      </c>
      <c r="D878" s="315" t="str">
        <f t="shared" si="41"/>
        <v>Ocaña, Norte De Santander</v>
      </c>
      <c r="E878" s="311">
        <v>54498</v>
      </c>
      <c r="F878" s="312">
        <v>0.2</v>
      </c>
      <c r="G878" s="312">
        <v>0.15</v>
      </c>
      <c r="H878" s="312" t="s">
        <v>40</v>
      </c>
      <c r="I878" s="312">
        <v>0.08</v>
      </c>
      <c r="J878" s="313">
        <v>0.03</v>
      </c>
    </row>
    <row r="879" spans="1:10" ht="17.25" thickBot="1" x14ac:dyDescent="0.35">
      <c r="A879" s="314" t="s">
        <v>1144</v>
      </c>
      <c r="B879" s="315">
        <f t="shared" si="39"/>
        <v>0</v>
      </c>
      <c r="C879" s="315" t="str">
        <f t="shared" si="40"/>
        <v>Norte De Santander</v>
      </c>
      <c r="D879" s="315" t="str">
        <f t="shared" si="41"/>
        <v>Pamplona, Norte De Santander</v>
      </c>
      <c r="E879" s="311">
        <v>54518</v>
      </c>
      <c r="F879" s="312">
        <v>0.3</v>
      </c>
      <c r="G879" s="312">
        <v>0.25</v>
      </c>
      <c r="H879" s="312" t="s">
        <v>322</v>
      </c>
      <c r="I879" s="312">
        <v>0.1</v>
      </c>
      <c r="J879" s="313">
        <v>0.05</v>
      </c>
    </row>
    <row r="880" spans="1:10" ht="17.25" thickBot="1" x14ac:dyDescent="0.35">
      <c r="A880" s="314" t="s">
        <v>1145</v>
      </c>
      <c r="B880" s="315">
        <f t="shared" si="39"/>
        <v>0</v>
      </c>
      <c r="C880" s="315" t="str">
        <f t="shared" si="40"/>
        <v>Norte De Santander</v>
      </c>
      <c r="D880" s="315" t="str">
        <f t="shared" si="41"/>
        <v>Pamplonita, Norte De Santander</v>
      </c>
      <c r="E880" s="311">
        <v>54520</v>
      </c>
      <c r="F880" s="312">
        <v>0.35</v>
      </c>
      <c r="G880" s="312">
        <v>0.25</v>
      </c>
      <c r="H880" s="312" t="s">
        <v>322</v>
      </c>
      <c r="I880" s="312">
        <v>0.13</v>
      </c>
      <c r="J880" s="313">
        <v>0.06</v>
      </c>
    </row>
    <row r="881" spans="1:10" ht="17.25" thickBot="1" x14ac:dyDescent="0.35">
      <c r="A881" s="314" t="s">
        <v>313</v>
      </c>
      <c r="B881" s="315">
        <f t="shared" si="39"/>
        <v>0</v>
      </c>
      <c r="C881" s="315" t="str">
        <f t="shared" si="40"/>
        <v>Norte De Santander</v>
      </c>
      <c r="D881" s="315" t="str">
        <f t="shared" si="41"/>
        <v>Puerto Santander, Norte De Santander</v>
      </c>
      <c r="E881" s="311">
        <v>54553</v>
      </c>
      <c r="F881" s="312">
        <v>0.35</v>
      </c>
      <c r="G881" s="312">
        <v>0.25</v>
      </c>
      <c r="H881" s="312" t="s">
        <v>322</v>
      </c>
      <c r="I881" s="312">
        <v>0.09</v>
      </c>
      <c r="J881" s="313">
        <v>0.04</v>
      </c>
    </row>
    <row r="882" spans="1:10" ht="17.25" thickBot="1" x14ac:dyDescent="0.35">
      <c r="A882" s="314" t="s">
        <v>1146</v>
      </c>
      <c r="B882" s="315">
        <f t="shared" si="39"/>
        <v>0</v>
      </c>
      <c r="C882" s="315" t="str">
        <f t="shared" si="40"/>
        <v>Norte De Santander</v>
      </c>
      <c r="D882" s="315" t="str">
        <f t="shared" si="41"/>
        <v>Ragonvalia, Norte De Santander</v>
      </c>
      <c r="E882" s="311">
        <v>54599</v>
      </c>
      <c r="F882" s="312">
        <v>0.35</v>
      </c>
      <c r="G882" s="312">
        <v>0.3</v>
      </c>
      <c r="H882" s="312" t="s">
        <v>322</v>
      </c>
      <c r="I882" s="312">
        <v>0.2</v>
      </c>
      <c r="J882" s="313">
        <v>0.09</v>
      </c>
    </row>
    <row r="883" spans="1:10" ht="17.25" thickBot="1" x14ac:dyDescent="0.35">
      <c r="A883" s="314" t="s">
        <v>1147</v>
      </c>
      <c r="B883" s="315">
        <f t="shared" si="39"/>
        <v>0</v>
      </c>
      <c r="C883" s="315" t="str">
        <f t="shared" si="40"/>
        <v>Norte De Santander</v>
      </c>
      <c r="D883" s="315" t="str">
        <f t="shared" si="41"/>
        <v>Salazar, Norte De Santander</v>
      </c>
      <c r="E883" s="311">
        <v>54660</v>
      </c>
      <c r="F883" s="312">
        <v>0.3</v>
      </c>
      <c r="G883" s="312">
        <v>0.25</v>
      </c>
      <c r="H883" s="312" t="s">
        <v>322</v>
      </c>
      <c r="I883" s="312">
        <v>0.09</v>
      </c>
      <c r="J883" s="313">
        <v>0.04</v>
      </c>
    </row>
    <row r="884" spans="1:10" ht="17.25" thickBot="1" x14ac:dyDescent="0.35">
      <c r="A884" s="314" t="s">
        <v>1148</v>
      </c>
      <c r="B884" s="315">
        <f t="shared" si="39"/>
        <v>0</v>
      </c>
      <c r="C884" s="315" t="str">
        <f t="shared" si="40"/>
        <v>Norte De Santander</v>
      </c>
      <c r="D884" s="315" t="str">
        <f t="shared" si="41"/>
        <v>San Calixto, Norte De Santander</v>
      </c>
      <c r="E884" s="311">
        <v>54670</v>
      </c>
      <c r="F884" s="312">
        <v>0.2</v>
      </c>
      <c r="G884" s="312">
        <v>0.15</v>
      </c>
      <c r="H884" s="312" t="s">
        <v>40</v>
      </c>
      <c r="I884" s="312">
        <v>0.05</v>
      </c>
      <c r="J884" s="313">
        <v>0.03</v>
      </c>
    </row>
    <row r="885" spans="1:10" ht="17.25" thickBot="1" x14ac:dyDescent="0.35">
      <c r="A885" s="314" t="s">
        <v>911</v>
      </c>
      <c r="B885" s="315">
        <f t="shared" si="39"/>
        <v>0</v>
      </c>
      <c r="C885" s="315" t="str">
        <f t="shared" si="40"/>
        <v>Norte De Santander</v>
      </c>
      <c r="D885" s="315" t="str">
        <f t="shared" si="41"/>
        <v>San Cayetano, Norte De Santander</v>
      </c>
      <c r="E885" s="311">
        <v>54673</v>
      </c>
      <c r="F885" s="312">
        <v>0.35</v>
      </c>
      <c r="G885" s="312">
        <v>0.3</v>
      </c>
      <c r="H885" s="312" t="s">
        <v>322</v>
      </c>
      <c r="I885" s="312">
        <v>0.19</v>
      </c>
      <c r="J885" s="313">
        <v>0.08</v>
      </c>
    </row>
    <row r="886" spans="1:10" ht="17.25" thickBot="1" x14ac:dyDescent="0.35">
      <c r="A886" s="314" t="s">
        <v>1149</v>
      </c>
      <c r="B886" s="315">
        <f t="shared" si="39"/>
        <v>0</v>
      </c>
      <c r="C886" s="315" t="str">
        <f t="shared" si="40"/>
        <v>Norte De Santander</v>
      </c>
      <c r="D886" s="315" t="str">
        <f t="shared" si="41"/>
        <v>Santiago, Norte De Santander</v>
      </c>
      <c r="E886" s="311">
        <v>54680</v>
      </c>
      <c r="F886" s="312">
        <v>0.3</v>
      </c>
      <c r="G886" s="312">
        <v>0.25</v>
      </c>
      <c r="H886" s="312" t="s">
        <v>322</v>
      </c>
      <c r="I886" s="312">
        <v>0.14000000000000001</v>
      </c>
      <c r="J886" s="313">
        <v>0.06</v>
      </c>
    </row>
    <row r="887" spans="1:10" ht="17.25" thickBot="1" x14ac:dyDescent="0.35">
      <c r="A887" s="314" t="s">
        <v>1150</v>
      </c>
      <c r="B887" s="315">
        <f t="shared" si="39"/>
        <v>0</v>
      </c>
      <c r="C887" s="315" t="str">
        <f t="shared" si="40"/>
        <v>Norte De Santander</v>
      </c>
      <c r="D887" s="315" t="str">
        <f t="shared" si="41"/>
        <v>Sardinata, Norte De Santander</v>
      </c>
      <c r="E887" s="311">
        <v>54720</v>
      </c>
      <c r="F887" s="312">
        <v>0.3</v>
      </c>
      <c r="G887" s="312">
        <v>0.25</v>
      </c>
      <c r="H887" s="312" t="s">
        <v>322</v>
      </c>
      <c r="I887" s="312">
        <v>0.15</v>
      </c>
      <c r="J887" s="313">
        <v>0.06</v>
      </c>
    </row>
    <row r="888" spans="1:10" ht="17.25" thickBot="1" x14ac:dyDescent="0.35">
      <c r="A888" s="314" t="s">
        <v>1151</v>
      </c>
      <c r="B888" s="315">
        <f t="shared" si="39"/>
        <v>0</v>
      </c>
      <c r="C888" s="315" t="str">
        <f t="shared" si="40"/>
        <v>Norte De Santander</v>
      </c>
      <c r="D888" s="315" t="str">
        <f t="shared" si="41"/>
        <v>Silos, Norte De Santander</v>
      </c>
      <c r="E888" s="311">
        <v>54743</v>
      </c>
      <c r="F888" s="312">
        <v>0.25</v>
      </c>
      <c r="G888" s="312">
        <v>0.25</v>
      </c>
      <c r="H888" s="312" t="s">
        <v>322</v>
      </c>
      <c r="I888" s="312">
        <v>7.0000000000000007E-2</v>
      </c>
      <c r="J888" s="313">
        <v>0.03</v>
      </c>
    </row>
    <row r="889" spans="1:10" ht="17.25" thickBot="1" x14ac:dyDescent="0.35">
      <c r="A889" s="314" t="s">
        <v>1152</v>
      </c>
      <c r="B889" s="315">
        <f t="shared" si="39"/>
        <v>0</v>
      </c>
      <c r="C889" s="315" t="str">
        <f t="shared" si="40"/>
        <v>Norte De Santander</v>
      </c>
      <c r="D889" s="315" t="str">
        <f t="shared" si="41"/>
        <v>Teorama, Norte De Santander</v>
      </c>
      <c r="E889" s="311">
        <v>54800</v>
      </c>
      <c r="F889" s="312">
        <v>0.2</v>
      </c>
      <c r="G889" s="312">
        <v>0.15</v>
      </c>
      <c r="H889" s="312" t="s">
        <v>40</v>
      </c>
      <c r="I889" s="312">
        <v>0.04</v>
      </c>
      <c r="J889" s="313">
        <v>0.02</v>
      </c>
    </row>
    <row r="890" spans="1:10" ht="17.25" thickBot="1" x14ac:dyDescent="0.35">
      <c r="A890" s="314" t="s">
        <v>1153</v>
      </c>
      <c r="B890" s="315">
        <f t="shared" si="39"/>
        <v>0</v>
      </c>
      <c r="C890" s="315" t="str">
        <f t="shared" si="40"/>
        <v>Norte De Santander</v>
      </c>
      <c r="D890" s="315" t="str">
        <f t="shared" si="41"/>
        <v>Tibú, Norte De Santander</v>
      </c>
      <c r="E890" s="311">
        <v>54810</v>
      </c>
      <c r="F890" s="312">
        <v>0.2</v>
      </c>
      <c r="G890" s="312">
        <v>0.2</v>
      </c>
      <c r="H890" s="312" t="s">
        <v>40</v>
      </c>
      <c r="I890" s="312">
        <v>0.11</v>
      </c>
      <c r="J890" s="313">
        <v>0.04</v>
      </c>
    </row>
    <row r="891" spans="1:10" ht="17.25" thickBot="1" x14ac:dyDescent="0.35">
      <c r="A891" s="314" t="s">
        <v>447</v>
      </c>
      <c r="B891" s="315">
        <f t="shared" si="39"/>
        <v>0</v>
      </c>
      <c r="C891" s="315" t="str">
        <f t="shared" si="40"/>
        <v>Norte De Santander</v>
      </c>
      <c r="D891" s="315" t="str">
        <f t="shared" si="41"/>
        <v>Toledo, Norte De Santander</v>
      </c>
      <c r="E891" s="311">
        <v>54820</v>
      </c>
      <c r="F891" s="312">
        <v>0.35</v>
      </c>
      <c r="G891" s="312">
        <v>0.3</v>
      </c>
      <c r="H891" s="312" t="s">
        <v>322</v>
      </c>
      <c r="I891" s="312">
        <v>0.24</v>
      </c>
      <c r="J891" s="313">
        <v>0.1</v>
      </c>
    </row>
    <row r="892" spans="1:10" ht="17.25" thickBot="1" x14ac:dyDescent="0.35">
      <c r="A892" s="314" t="s">
        <v>1154</v>
      </c>
      <c r="B892" s="315">
        <f t="shared" si="39"/>
        <v>0</v>
      </c>
      <c r="C892" s="315" t="str">
        <f t="shared" si="40"/>
        <v>Norte De Santander</v>
      </c>
      <c r="D892" s="315" t="str">
        <f t="shared" si="41"/>
        <v>Villa Caro, Norte De Santander</v>
      </c>
      <c r="E892" s="311">
        <v>54871</v>
      </c>
      <c r="F892" s="312">
        <v>0.3</v>
      </c>
      <c r="G892" s="312">
        <v>0.25</v>
      </c>
      <c r="H892" s="312" t="s">
        <v>322</v>
      </c>
      <c r="I892" s="312">
        <v>7.0000000000000007E-2</v>
      </c>
      <c r="J892" s="313">
        <v>0.04</v>
      </c>
    </row>
    <row r="893" spans="1:10" ht="17.25" thickBot="1" x14ac:dyDescent="0.35">
      <c r="A893" s="314" t="s">
        <v>1155</v>
      </c>
      <c r="B893" s="315">
        <f t="shared" si="39"/>
        <v>0</v>
      </c>
      <c r="C893" s="315" t="str">
        <f t="shared" si="40"/>
        <v>Norte De Santander</v>
      </c>
      <c r="D893" s="315" t="str">
        <f t="shared" si="41"/>
        <v>Villa del Rosario, Norte De Santander</v>
      </c>
      <c r="E893" s="311">
        <v>54874</v>
      </c>
      <c r="F893" s="312">
        <v>0.35</v>
      </c>
      <c r="G893" s="312">
        <v>0.3</v>
      </c>
      <c r="H893" s="312" t="s">
        <v>322</v>
      </c>
      <c r="I893" s="312">
        <v>0.25</v>
      </c>
      <c r="J893" s="313">
        <v>0.1</v>
      </c>
    </row>
    <row r="894" spans="1:10" ht="17.25" thickBot="1" x14ac:dyDescent="0.35">
      <c r="A894" s="299" t="s">
        <v>1156</v>
      </c>
      <c r="B894" s="300">
        <f t="shared" si="39"/>
        <v>1</v>
      </c>
      <c r="C894" s="300" t="str">
        <f t="shared" si="40"/>
        <v>Putumayo</v>
      </c>
      <c r="D894" s="300" t="str">
        <f t="shared" si="41"/>
        <v/>
      </c>
      <c r="E894" s="301"/>
      <c r="F894" s="302"/>
      <c r="G894" s="302"/>
      <c r="H894" s="302"/>
      <c r="I894" s="302"/>
      <c r="J894" s="303"/>
    </row>
    <row r="895" spans="1:10" ht="17.25" thickBot="1" x14ac:dyDescent="0.35">
      <c r="A895" s="309" t="s">
        <v>1157</v>
      </c>
      <c r="B895" s="310">
        <f t="shared" si="39"/>
        <v>0</v>
      </c>
      <c r="C895" s="310" t="str">
        <f t="shared" si="40"/>
        <v>Putumayo</v>
      </c>
      <c r="D895" s="310" t="str">
        <f t="shared" si="41"/>
        <v>Mocoa, Putumayo</v>
      </c>
      <c r="E895" s="311">
        <v>86001</v>
      </c>
      <c r="F895" s="312">
        <v>0.3</v>
      </c>
      <c r="G895" s="312">
        <v>0.25</v>
      </c>
      <c r="H895" s="312" t="s">
        <v>322</v>
      </c>
      <c r="I895" s="312">
        <v>0.2</v>
      </c>
      <c r="J895" s="313">
        <v>0.1</v>
      </c>
    </row>
    <row r="896" spans="1:10" ht="17.25" thickBot="1" x14ac:dyDescent="0.35">
      <c r="A896" s="314" t="s">
        <v>1072</v>
      </c>
      <c r="B896" s="315">
        <f t="shared" si="39"/>
        <v>0</v>
      </c>
      <c r="C896" s="315" t="str">
        <f t="shared" si="40"/>
        <v>Putumayo</v>
      </c>
      <c r="D896" s="315" t="str">
        <f t="shared" si="41"/>
        <v>Colón, Putumayo</v>
      </c>
      <c r="E896" s="311">
        <v>86219</v>
      </c>
      <c r="F896" s="312">
        <v>0.25</v>
      </c>
      <c r="G896" s="312">
        <v>0.25</v>
      </c>
      <c r="H896" s="312" t="s">
        <v>322</v>
      </c>
      <c r="I896" s="312">
        <v>0.13</v>
      </c>
      <c r="J896" s="313">
        <v>0.08</v>
      </c>
    </row>
    <row r="897" spans="1:10" ht="17.25" thickBot="1" x14ac:dyDescent="0.35">
      <c r="A897" s="314" t="s">
        <v>1158</v>
      </c>
      <c r="B897" s="315">
        <f t="shared" si="39"/>
        <v>0</v>
      </c>
      <c r="C897" s="315" t="str">
        <f t="shared" si="40"/>
        <v>Putumayo</v>
      </c>
      <c r="D897" s="315" t="str">
        <f t="shared" si="41"/>
        <v>Orito, Putumayo</v>
      </c>
      <c r="E897" s="311">
        <v>86320</v>
      </c>
      <c r="F897" s="312">
        <v>0.3</v>
      </c>
      <c r="G897" s="312">
        <v>0.25</v>
      </c>
      <c r="H897" s="312" t="s">
        <v>322</v>
      </c>
      <c r="I897" s="312">
        <v>0.08</v>
      </c>
      <c r="J897" s="313">
        <v>0.05</v>
      </c>
    </row>
    <row r="898" spans="1:10" ht="17.25" thickBot="1" x14ac:dyDescent="0.35">
      <c r="A898" s="314" t="s">
        <v>1159</v>
      </c>
      <c r="B898" s="315">
        <f t="shared" si="39"/>
        <v>0</v>
      </c>
      <c r="C898" s="315" t="str">
        <f t="shared" si="40"/>
        <v>Putumayo</v>
      </c>
      <c r="D898" s="315" t="str">
        <f t="shared" si="41"/>
        <v>Puerto Asís, Putumayo</v>
      </c>
      <c r="E898" s="311">
        <v>86568</v>
      </c>
      <c r="F898" s="312">
        <v>0.05</v>
      </c>
      <c r="G898" s="312">
        <v>0.15</v>
      </c>
      <c r="H898" s="312" t="s">
        <v>40</v>
      </c>
      <c r="I898" s="312">
        <v>0.04</v>
      </c>
      <c r="J898" s="313">
        <v>0.02</v>
      </c>
    </row>
    <row r="899" spans="1:10" ht="17.25" thickBot="1" x14ac:dyDescent="0.35">
      <c r="A899" s="314" t="s">
        <v>1160</v>
      </c>
      <c r="B899" s="315">
        <f t="shared" ref="B899:B962" si="42">IFERROR(FIND("Departamento",A899),0)</f>
        <v>0</v>
      </c>
      <c r="C899" s="315" t="str">
        <f t="shared" ref="C899:C962" si="43">IF(B899=1,IF(ISERROR(FIND("del",A899)),MID(A899,17,30),MID(A899,18,30)),C898)</f>
        <v>Putumayo</v>
      </c>
      <c r="D899" s="315" t="str">
        <f t="shared" ref="D899:D962" si="44">IF(B899=1,"",CONCATENATE(A899,", ",C899))</f>
        <v>Puerto Caicedo, Putumayo</v>
      </c>
      <c r="E899" s="311">
        <v>86569</v>
      </c>
      <c r="F899" s="312">
        <v>0.15</v>
      </c>
      <c r="G899" s="312">
        <v>0.2</v>
      </c>
      <c r="H899" s="312" t="s">
        <v>40</v>
      </c>
      <c r="I899" s="312">
        <v>0.04</v>
      </c>
      <c r="J899" s="313">
        <v>0.02</v>
      </c>
    </row>
    <row r="900" spans="1:10" ht="17.25" thickBot="1" x14ac:dyDescent="0.35">
      <c r="A900" s="314" t="s">
        <v>1161</v>
      </c>
      <c r="B900" s="315">
        <f t="shared" si="42"/>
        <v>0</v>
      </c>
      <c r="C900" s="315" t="str">
        <f t="shared" si="43"/>
        <v>Putumayo</v>
      </c>
      <c r="D900" s="315" t="str">
        <f t="shared" si="44"/>
        <v>Puerto Guzmán, Putumayo</v>
      </c>
      <c r="E900" s="311">
        <v>86571</v>
      </c>
      <c r="F900" s="312">
        <v>0.05</v>
      </c>
      <c r="G900" s="312">
        <v>0.15</v>
      </c>
      <c r="H900" s="312" t="s">
        <v>40</v>
      </c>
      <c r="I900" s="312">
        <v>0.04</v>
      </c>
      <c r="J900" s="313">
        <v>0.02</v>
      </c>
    </row>
    <row r="901" spans="1:10" ht="17.25" thickBot="1" x14ac:dyDescent="0.35">
      <c r="A901" s="314" t="s">
        <v>1162</v>
      </c>
      <c r="B901" s="315">
        <f t="shared" si="42"/>
        <v>0</v>
      </c>
      <c r="C901" s="315" t="str">
        <f t="shared" si="43"/>
        <v>Putumayo</v>
      </c>
      <c r="D901" s="315" t="str">
        <f t="shared" si="44"/>
        <v>Puerto Leguízamo, Putumayo</v>
      </c>
      <c r="E901" s="311">
        <v>86573</v>
      </c>
      <c r="F901" s="312">
        <v>0.05</v>
      </c>
      <c r="G901" s="312">
        <v>0.05</v>
      </c>
      <c r="H901" s="312" t="s">
        <v>295</v>
      </c>
      <c r="I901" s="312">
        <v>0.04</v>
      </c>
      <c r="J901" s="313">
        <v>0.02</v>
      </c>
    </row>
    <row r="902" spans="1:10" ht="17.25" thickBot="1" x14ac:dyDescent="0.35">
      <c r="A902" s="314" t="s">
        <v>425</v>
      </c>
      <c r="B902" s="315">
        <f t="shared" si="42"/>
        <v>0</v>
      </c>
      <c r="C902" s="315" t="str">
        <f t="shared" si="43"/>
        <v>Putumayo</v>
      </c>
      <c r="D902" s="315" t="str">
        <f t="shared" si="44"/>
        <v>San Francisco, Putumayo</v>
      </c>
      <c r="E902" s="311">
        <v>86755</v>
      </c>
      <c r="F902" s="312">
        <v>0.3</v>
      </c>
      <c r="G902" s="312">
        <v>0.25</v>
      </c>
      <c r="H902" s="312" t="s">
        <v>322</v>
      </c>
      <c r="I902" s="312">
        <v>0.16</v>
      </c>
      <c r="J902" s="313">
        <v>0.1</v>
      </c>
    </row>
    <row r="903" spans="1:10" ht="17.25" thickBot="1" x14ac:dyDescent="0.35">
      <c r="A903" s="314" t="s">
        <v>1163</v>
      </c>
      <c r="B903" s="315">
        <f t="shared" si="42"/>
        <v>0</v>
      </c>
      <c r="C903" s="315" t="str">
        <f t="shared" si="43"/>
        <v>Putumayo</v>
      </c>
      <c r="D903" s="315" t="str">
        <f t="shared" si="44"/>
        <v>San Miguel, Putumayo</v>
      </c>
      <c r="E903" s="311">
        <v>86757</v>
      </c>
      <c r="F903" s="312">
        <v>0.15</v>
      </c>
      <c r="G903" s="312">
        <v>0.2</v>
      </c>
      <c r="H903" s="312" t="s">
        <v>40</v>
      </c>
      <c r="I903" s="312">
        <v>0.04</v>
      </c>
      <c r="J903" s="313">
        <v>0.02</v>
      </c>
    </row>
    <row r="904" spans="1:10" ht="17.25" thickBot="1" x14ac:dyDescent="0.35">
      <c r="A904" s="314" t="s">
        <v>1149</v>
      </c>
      <c r="B904" s="315">
        <f t="shared" si="42"/>
        <v>0</v>
      </c>
      <c r="C904" s="315" t="str">
        <f t="shared" si="43"/>
        <v>Putumayo</v>
      </c>
      <c r="D904" s="315" t="str">
        <f t="shared" si="44"/>
        <v>Santiago, Putumayo</v>
      </c>
      <c r="E904" s="311">
        <v>86760</v>
      </c>
      <c r="F904" s="312">
        <v>0.3</v>
      </c>
      <c r="G904" s="312">
        <v>0.25</v>
      </c>
      <c r="H904" s="312" t="s">
        <v>322</v>
      </c>
      <c r="I904" s="312">
        <v>0.17</v>
      </c>
      <c r="J904" s="313">
        <v>0.1</v>
      </c>
    </row>
    <row r="905" spans="1:10" ht="17.25" thickBot="1" x14ac:dyDescent="0.35">
      <c r="A905" s="314" t="s">
        <v>1164</v>
      </c>
      <c r="B905" s="315">
        <f t="shared" si="42"/>
        <v>0</v>
      </c>
      <c r="C905" s="315" t="str">
        <f t="shared" si="43"/>
        <v>Putumayo</v>
      </c>
      <c r="D905" s="315" t="str">
        <f t="shared" si="44"/>
        <v>Sibundoy, Putumayo</v>
      </c>
      <c r="E905" s="311">
        <v>86749</v>
      </c>
      <c r="F905" s="312">
        <v>0.25</v>
      </c>
      <c r="G905" s="312">
        <v>0.25</v>
      </c>
      <c r="H905" s="312" t="s">
        <v>322</v>
      </c>
      <c r="I905" s="312">
        <v>0.14000000000000001</v>
      </c>
      <c r="J905" s="313">
        <v>0.08</v>
      </c>
    </row>
    <row r="906" spans="1:10" ht="17.25" thickBot="1" x14ac:dyDescent="0.35">
      <c r="A906" s="314" t="s">
        <v>1165</v>
      </c>
      <c r="B906" s="315">
        <f t="shared" si="42"/>
        <v>0</v>
      </c>
      <c r="C906" s="315" t="str">
        <f t="shared" si="43"/>
        <v>Putumayo</v>
      </c>
      <c r="D906" s="315" t="str">
        <f t="shared" si="44"/>
        <v>Valle del Guamuez, Putumayo</v>
      </c>
      <c r="E906" s="311">
        <v>86865</v>
      </c>
      <c r="F906" s="312">
        <v>0.15</v>
      </c>
      <c r="G906" s="312">
        <v>0.2</v>
      </c>
      <c r="H906" s="312" t="s">
        <v>40</v>
      </c>
      <c r="I906" s="312">
        <v>0.04</v>
      </c>
      <c r="J906" s="313">
        <v>0.02</v>
      </c>
    </row>
    <row r="907" spans="1:10" ht="17.25" thickBot="1" x14ac:dyDescent="0.35">
      <c r="A907" s="314" t="s">
        <v>1166</v>
      </c>
      <c r="B907" s="315">
        <f t="shared" si="42"/>
        <v>0</v>
      </c>
      <c r="C907" s="315" t="str">
        <f t="shared" si="43"/>
        <v>Putumayo</v>
      </c>
      <c r="D907" s="315" t="str">
        <f t="shared" si="44"/>
        <v>Villagarzón, Putumayo</v>
      </c>
      <c r="E907" s="311">
        <v>86885</v>
      </c>
      <c r="F907" s="312">
        <v>0.3</v>
      </c>
      <c r="G907" s="312">
        <v>0.25</v>
      </c>
      <c r="H907" s="312" t="s">
        <v>322</v>
      </c>
      <c r="I907" s="312">
        <v>0.08</v>
      </c>
      <c r="J907" s="313">
        <v>0.05</v>
      </c>
    </row>
    <row r="908" spans="1:10" ht="17.25" thickBot="1" x14ac:dyDescent="0.35">
      <c r="A908" s="299" t="s">
        <v>1167</v>
      </c>
      <c r="B908" s="300">
        <f t="shared" si="42"/>
        <v>1</v>
      </c>
      <c r="C908" s="300" t="str">
        <f t="shared" si="43"/>
        <v>Quindío</v>
      </c>
      <c r="D908" s="300" t="str">
        <f t="shared" si="44"/>
        <v/>
      </c>
      <c r="E908" s="301"/>
      <c r="F908" s="302"/>
      <c r="G908" s="302"/>
      <c r="H908" s="302"/>
      <c r="I908" s="302"/>
      <c r="J908" s="303"/>
    </row>
    <row r="909" spans="1:10" ht="17.25" thickBot="1" x14ac:dyDescent="0.35">
      <c r="A909" s="309" t="s">
        <v>8</v>
      </c>
      <c r="B909" s="310">
        <f t="shared" si="42"/>
        <v>0</v>
      </c>
      <c r="C909" s="310" t="str">
        <f t="shared" si="43"/>
        <v>Quindío</v>
      </c>
      <c r="D909" s="310" t="str">
        <f t="shared" si="44"/>
        <v>Armenia, Quindío</v>
      </c>
      <c r="E909" s="311">
        <v>63001</v>
      </c>
      <c r="F909" s="312">
        <v>0.25</v>
      </c>
      <c r="G909" s="312">
        <v>0.25</v>
      </c>
      <c r="H909" s="312" t="s">
        <v>322</v>
      </c>
      <c r="I909" s="312">
        <v>0.2</v>
      </c>
      <c r="J909" s="313">
        <v>0.1</v>
      </c>
    </row>
    <row r="910" spans="1:10" ht="17.25" thickBot="1" x14ac:dyDescent="0.35">
      <c r="A910" s="314" t="s">
        <v>547</v>
      </c>
      <c r="B910" s="315">
        <f t="shared" si="42"/>
        <v>0</v>
      </c>
      <c r="C910" s="315" t="str">
        <f t="shared" si="43"/>
        <v>Quindío</v>
      </c>
      <c r="D910" s="315" t="str">
        <f t="shared" si="44"/>
        <v>Buenavista, Quindío</v>
      </c>
      <c r="E910" s="311">
        <v>63111</v>
      </c>
      <c r="F910" s="312">
        <v>0.25</v>
      </c>
      <c r="G910" s="312">
        <v>0.2</v>
      </c>
      <c r="H910" s="312" t="s">
        <v>322</v>
      </c>
      <c r="I910" s="312">
        <v>0.19</v>
      </c>
      <c r="J910" s="313">
        <v>0.09</v>
      </c>
    </row>
    <row r="911" spans="1:10" ht="17.25" thickBot="1" x14ac:dyDescent="0.35">
      <c r="A911" s="314" t="s">
        <v>1168</v>
      </c>
      <c r="B911" s="315">
        <f t="shared" si="42"/>
        <v>0</v>
      </c>
      <c r="C911" s="315" t="str">
        <f t="shared" si="43"/>
        <v>Quindío</v>
      </c>
      <c r="D911" s="315" t="str">
        <f t="shared" si="44"/>
        <v>Calarcá, Quindío</v>
      </c>
      <c r="E911" s="311">
        <v>63130</v>
      </c>
      <c r="F911" s="312">
        <v>0.25</v>
      </c>
      <c r="G911" s="312">
        <v>0.25</v>
      </c>
      <c r="H911" s="312" t="s">
        <v>322</v>
      </c>
      <c r="I911" s="312">
        <v>0.2</v>
      </c>
      <c r="J911" s="313">
        <v>0.1</v>
      </c>
    </row>
    <row r="912" spans="1:10" ht="17.25" thickBot="1" x14ac:dyDescent="0.35">
      <c r="A912" s="314" t="s">
        <v>1169</v>
      </c>
      <c r="B912" s="315">
        <f t="shared" si="42"/>
        <v>0</v>
      </c>
      <c r="C912" s="315" t="str">
        <f t="shared" si="43"/>
        <v>Quindío</v>
      </c>
      <c r="D912" s="315" t="str">
        <f t="shared" si="44"/>
        <v>Circasia, Quindío</v>
      </c>
      <c r="E912" s="311">
        <v>63190</v>
      </c>
      <c r="F912" s="312">
        <v>0.25</v>
      </c>
      <c r="G912" s="312">
        <v>0.25</v>
      </c>
      <c r="H912" s="312" t="s">
        <v>322</v>
      </c>
      <c r="I912" s="312">
        <v>0.2</v>
      </c>
      <c r="J912" s="313">
        <v>0.11</v>
      </c>
    </row>
    <row r="913" spans="1:10" ht="17.25" thickBot="1" x14ac:dyDescent="0.35">
      <c r="A913" s="314" t="s">
        <v>312</v>
      </c>
      <c r="B913" s="315">
        <f t="shared" si="42"/>
        <v>0</v>
      </c>
      <c r="C913" s="315" t="str">
        <f t="shared" si="43"/>
        <v>Quindío</v>
      </c>
      <c r="D913" s="315" t="str">
        <f t="shared" si="44"/>
        <v>Córdoba, Quindío</v>
      </c>
      <c r="E913" s="311">
        <v>63212</v>
      </c>
      <c r="F913" s="312">
        <v>0.25</v>
      </c>
      <c r="G913" s="312">
        <v>0.2</v>
      </c>
      <c r="H913" s="312" t="s">
        <v>322</v>
      </c>
      <c r="I913" s="312">
        <v>0.2</v>
      </c>
      <c r="J913" s="313">
        <v>0.1</v>
      </c>
    </row>
    <row r="914" spans="1:10" ht="17.25" thickBot="1" x14ac:dyDescent="0.35">
      <c r="A914" s="314" t="s">
        <v>1170</v>
      </c>
      <c r="B914" s="315">
        <f t="shared" si="42"/>
        <v>0</v>
      </c>
      <c r="C914" s="315" t="str">
        <f t="shared" si="43"/>
        <v>Quindío</v>
      </c>
      <c r="D914" s="315" t="str">
        <f t="shared" si="44"/>
        <v>Filandia, Quindío</v>
      </c>
      <c r="E914" s="311">
        <v>63272</v>
      </c>
      <c r="F914" s="312">
        <v>0.25</v>
      </c>
      <c r="G914" s="312">
        <v>0.25</v>
      </c>
      <c r="H914" s="312" t="s">
        <v>322</v>
      </c>
      <c r="I914" s="312">
        <v>0.2</v>
      </c>
      <c r="J914" s="313">
        <v>0.11</v>
      </c>
    </row>
    <row r="915" spans="1:10" ht="17.25" thickBot="1" x14ac:dyDescent="0.35">
      <c r="A915" s="314" t="s">
        <v>1171</v>
      </c>
      <c r="B915" s="315">
        <f t="shared" si="42"/>
        <v>0</v>
      </c>
      <c r="C915" s="315" t="str">
        <f t="shared" si="43"/>
        <v>Quindío</v>
      </c>
      <c r="D915" s="315" t="str">
        <f t="shared" si="44"/>
        <v>Génova, Quindío</v>
      </c>
      <c r="E915" s="311">
        <v>63302</v>
      </c>
      <c r="F915" s="312">
        <v>0.25</v>
      </c>
      <c r="G915" s="312">
        <v>0.2</v>
      </c>
      <c r="H915" s="312" t="s">
        <v>322</v>
      </c>
      <c r="I915" s="312">
        <v>0.2</v>
      </c>
      <c r="J915" s="313">
        <v>0.09</v>
      </c>
    </row>
    <row r="916" spans="1:10" ht="17.25" thickBot="1" x14ac:dyDescent="0.35">
      <c r="A916" s="314" t="s">
        <v>1172</v>
      </c>
      <c r="B916" s="315">
        <f t="shared" si="42"/>
        <v>0</v>
      </c>
      <c r="C916" s="315" t="str">
        <f t="shared" si="43"/>
        <v>Quindío</v>
      </c>
      <c r="D916" s="315" t="str">
        <f t="shared" si="44"/>
        <v>La Tebaida, Quindío</v>
      </c>
      <c r="E916" s="311">
        <v>63401</v>
      </c>
      <c r="F916" s="312">
        <v>0.25</v>
      </c>
      <c r="G916" s="312">
        <v>0.25</v>
      </c>
      <c r="H916" s="312" t="s">
        <v>322</v>
      </c>
      <c r="I916" s="312">
        <v>0.18</v>
      </c>
      <c r="J916" s="313">
        <v>0.09</v>
      </c>
    </row>
    <row r="917" spans="1:10" ht="17.25" thickBot="1" x14ac:dyDescent="0.35">
      <c r="A917" s="314" t="s">
        <v>1173</v>
      </c>
      <c r="B917" s="315">
        <f t="shared" si="42"/>
        <v>0</v>
      </c>
      <c r="C917" s="315" t="str">
        <f t="shared" si="43"/>
        <v>Quindío</v>
      </c>
      <c r="D917" s="315" t="str">
        <f t="shared" si="44"/>
        <v>Montenegro, Quindío</v>
      </c>
      <c r="E917" s="311">
        <v>63470</v>
      </c>
      <c r="F917" s="312">
        <v>0.25</v>
      </c>
      <c r="G917" s="312">
        <v>0.25</v>
      </c>
      <c r="H917" s="312" t="s">
        <v>322</v>
      </c>
      <c r="I917" s="312">
        <v>0.19</v>
      </c>
      <c r="J917" s="313">
        <v>0.1</v>
      </c>
    </row>
    <row r="918" spans="1:10" ht="17.25" thickBot="1" x14ac:dyDescent="0.35">
      <c r="A918" s="314" t="s">
        <v>1174</v>
      </c>
      <c r="B918" s="315">
        <f t="shared" si="42"/>
        <v>0</v>
      </c>
      <c r="C918" s="315" t="str">
        <f t="shared" si="43"/>
        <v>Quindío</v>
      </c>
      <c r="D918" s="315" t="str">
        <f t="shared" si="44"/>
        <v>Pijáo, Quindío</v>
      </c>
      <c r="E918" s="311">
        <v>63548</v>
      </c>
      <c r="F918" s="312">
        <v>0.25</v>
      </c>
      <c r="G918" s="312">
        <v>0.2</v>
      </c>
      <c r="H918" s="312" t="s">
        <v>322</v>
      </c>
      <c r="I918" s="312">
        <v>0.2</v>
      </c>
      <c r="J918" s="313">
        <v>0.1</v>
      </c>
    </row>
    <row r="919" spans="1:10" ht="17.25" thickBot="1" x14ac:dyDescent="0.35">
      <c r="A919" s="314" t="s">
        <v>1175</v>
      </c>
      <c r="B919" s="315">
        <f t="shared" si="42"/>
        <v>0</v>
      </c>
      <c r="C919" s="315" t="str">
        <f t="shared" si="43"/>
        <v>Quindío</v>
      </c>
      <c r="D919" s="315" t="str">
        <f t="shared" si="44"/>
        <v>Quimbaya, Quindío</v>
      </c>
      <c r="E919" s="311">
        <v>63594</v>
      </c>
      <c r="F919" s="312">
        <v>0.25</v>
      </c>
      <c r="G919" s="312">
        <v>0.25</v>
      </c>
      <c r="H919" s="312" t="s">
        <v>322</v>
      </c>
      <c r="I919" s="312">
        <v>0.2</v>
      </c>
      <c r="J919" s="313">
        <v>0.1</v>
      </c>
    </row>
    <row r="920" spans="1:10" ht="17.25" thickBot="1" x14ac:dyDescent="0.35">
      <c r="A920" s="314" t="s">
        <v>1176</v>
      </c>
      <c r="B920" s="315">
        <f t="shared" si="42"/>
        <v>0</v>
      </c>
      <c r="C920" s="315" t="str">
        <f t="shared" si="43"/>
        <v>Quindío</v>
      </c>
      <c r="D920" s="315" t="str">
        <f t="shared" si="44"/>
        <v>Salento, Quindío</v>
      </c>
      <c r="E920" s="311">
        <v>63690</v>
      </c>
      <c r="F920" s="312">
        <v>0.25</v>
      </c>
      <c r="G920" s="312">
        <v>0.25</v>
      </c>
      <c r="H920" s="312" t="s">
        <v>322</v>
      </c>
      <c r="I920" s="312">
        <v>0.18</v>
      </c>
      <c r="J920" s="313">
        <v>0.09</v>
      </c>
    </row>
    <row r="921" spans="1:10" ht="17.25" thickBot="1" x14ac:dyDescent="0.35">
      <c r="A921" s="299" t="s">
        <v>1177</v>
      </c>
      <c r="B921" s="300">
        <f t="shared" si="42"/>
        <v>1</v>
      </c>
      <c r="C921" s="300" t="str">
        <f t="shared" si="43"/>
        <v>Risaralda</v>
      </c>
      <c r="D921" s="300" t="str">
        <f t="shared" si="44"/>
        <v/>
      </c>
      <c r="E921" s="301"/>
      <c r="F921" s="302"/>
      <c r="G921" s="302"/>
      <c r="H921" s="302"/>
      <c r="I921" s="302"/>
      <c r="J921" s="303"/>
    </row>
    <row r="922" spans="1:10" ht="17.25" thickBot="1" x14ac:dyDescent="0.35">
      <c r="A922" s="309" t="s">
        <v>1178</v>
      </c>
      <c r="B922" s="310">
        <f t="shared" si="42"/>
        <v>0</v>
      </c>
      <c r="C922" s="310" t="str">
        <f t="shared" si="43"/>
        <v>Risaralda</v>
      </c>
      <c r="D922" s="310" t="str">
        <f t="shared" si="44"/>
        <v>Pereira, Risaralda</v>
      </c>
      <c r="E922" s="311">
        <v>66001</v>
      </c>
      <c r="F922" s="312">
        <v>0.25</v>
      </c>
      <c r="G922" s="312">
        <v>0.25</v>
      </c>
      <c r="H922" s="312" t="s">
        <v>322</v>
      </c>
      <c r="I922" s="312">
        <v>0.2</v>
      </c>
      <c r="J922" s="313">
        <v>0.1</v>
      </c>
    </row>
    <row r="923" spans="1:10" ht="17.25" thickBot="1" x14ac:dyDescent="0.35">
      <c r="A923" s="314" t="s">
        <v>1179</v>
      </c>
      <c r="B923" s="315">
        <f t="shared" si="42"/>
        <v>0</v>
      </c>
      <c r="C923" s="315" t="str">
        <f t="shared" si="43"/>
        <v>Risaralda</v>
      </c>
      <c r="D923" s="315" t="str">
        <f t="shared" si="44"/>
        <v>Apía, Risaralda</v>
      </c>
      <c r="E923" s="311">
        <v>66045</v>
      </c>
      <c r="F923" s="312">
        <v>0.3</v>
      </c>
      <c r="G923" s="312">
        <v>0.3</v>
      </c>
      <c r="H923" s="312" t="s">
        <v>322</v>
      </c>
      <c r="I923" s="312">
        <v>0.2</v>
      </c>
      <c r="J923" s="313">
        <v>0.1</v>
      </c>
    </row>
    <row r="924" spans="1:10" ht="17.25" thickBot="1" x14ac:dyDescent="0.35">
      <c r="A924" s="314" t="s">
        <v>721</v>
      </c>
      <c r="B924" s="315">
        <f t="shared" si="42"/>
        <v>0</v>
      </c>
      <c r="C924" s="315" t="str">
        <f t="shared" si="43"/>
        <v>Risaralda</v>
      </c>
      <c r="D924" s="315" t="str">
        <f t="shared" si="44"/>
        <v>Balboa, Risaralda</v>
      </c>
      <c r="E924" s="311">
        <v>66075</v>
      </c>
      <c r="F924" s="312">
        <v>0.25</v>
      </c>
      <c r="G924" s="312">
        <v>0.3</v>
      </c>
      <c r="H924" s="312" t="s">
        <v>322</v>
      </c>
      <c r="I924" s="312">
        <v>0.2</v>
      </c>
      <c r="J924" s="313">
        <v>0.1</v>
      </c>
    </row>
    <row r="925" spans="1:10" ht="17.25" thickBot="1" x14ac:dyDescent="0.35">
      <c r="A925" s="314" t="s">
        <v>1180</v>
      </c>
      <c r="B925" s="315">
        <f t="shared" si="42"/>
        <v>0</v>
      </c>
      <c r="C925" s="315" t="str">
        <f t="shared" si="43"/>
        <v>Risaralda</v>
      </c>
      <c r="D925" s="315" t="str">
        <f t="shared" si="44"/>
        <v>Belén De Umbría, Risaralda</v>
      </c>
      <c r="E925" s="311">
        <v>66088</v>
      </c>
      <c r="F925" s="312">
        <v>0.25</v>
      </c>
      <c r="G925" s="312">
        <v>0.3</v>
      </c>
      <c r="H925" s="312" t="s">
        <v>322</v>
      </c>
      <c r="I925" s="312">
        <v>0.2</v>
      </c>
      <c r="J925" s="313">
        <v>0.1</v>
      </c>
    </row>
    <row r="926" spans="1:10" ht="17.25" thickBot="1" x14ac:dyDescent="0.35">
      <c r="A926" s="314" t="s">
        <v>1181</v>
      </c>
      <c r="B926" s="315">
        <f t="shared" si="42"/>
        <v>0</v>
      </c>
      <c r="C926" s="315" t="str">
        <f t="shared" si="43"/>
        <v>Risaralda</v>
      </c>
      <c r="D926" s="315" t="str">
        <f t="shared" si="44"/>
        <v>DosQuebradas, Risaralda</v>
      </c>
      <c r="E926" s="311">
        <v>66170</v>
      </c>
      <c r="F926" s="312">
        <v>0.25</v>
      </c>
      <c r="G926" s="312">
        <v>0.25</v>
      </c>
      <c r="H926" s="312" t="s">
        <v>322</v>
      </c>
      <c r="I926" s="312">
        <v>0.2</v>
      </c>
      <c r="J926" s="313">
        <v>0.1</v>
      </c>
    </row>
    <row r="927" spans="1:10" ht="17.25" thickBot="1" x14ac:dyDescent="0.35">
      <c r="A927" s="314" t="s">
        <v>1182</v>
      </c>
      <c r="B927" s="315">
        <f t="shared" si="42"/>
        <v>0</v>
      </c>
      <c r="C927" s="315" t="str">
        <f t="shared" si="43"/>
        <v>Risaralda</v>
      </c>
      <c r="D927" s="315" t="str">
        <f t="shared" si="44"/>
        <v>Guática, Risaralda</v>
      </c>
      <c r="E927" s="311">
        <v>66318</v>
      </c>
      <c r="F927" s="312">
        <v>0.25</v>
      </c>
      <c r="G927" s="312">
        <v>0.3</v>
      </c>
      <c r="H927" s="312" t="s">
        <v>322</v>
      </c>
      <c r="I927" s="312">
        <v>0.2</v>
      </c>
      <c r="J927" s="313">
        <v>0.1</v>
      </c>
    </row>
    <row r="928" spans="1:10" ht="17.25" thickBot="1" x14ac:dyDescent="0.35">
      <c r="A928" s="314" t="s">
        <v>1183</v>
      </c>
      <c r="B928" s="315">
        <f t="shared" si="42"/>
        <v>0</v>
      </c>
      <c r="C928" s="315" t="str">
        <f t="shared" si="43"/>
        <v>Risaralda</v>
      </c>
      <c r="D928" s="315" t="str">
        <f t="shared" si="44"/>
        <v>La Celia, Risaralda</v>
      </c>
      <c r="E928" s="311">
        <v>66383</v>
      </c>
      <c r="F928" s="312">
        <v>0.3</v>
      </c>
      <c r="G928" s="312">
        <v>0.3</v>
      </c>
      <c r="H928" s="312" t="s">
        <v>322</v>
      </c>
      <c r="I928" s="312">
        <v>0.2</v>
      </c>
      <c r="J928" s="313">
        <v>0.1</v>
      </c>
    </row>
    <row r="929" spans="1:10" ht="17.25" thickBot="1" x14ac:dyDescent="0.35">
      <c r="A929" s="314" t="s">
        <v>1184</v>
      </c>
      <c r="B929" s="315">
        <f t="shared" si="42"/>
        <v>0</v>
      </c>
      <c r="C929" s="315" t="str">
        <f t="shared" si="43"/>
        <v>Risaralda</v>
      </c>
      <c r="D929" s="315" t="str">
        <f t="shared" si="44"/>
        <v>La Virginia, Risaralda</v>
      </c>
      <c r="E929" s="311">
        <v>66400</v>
      </c>
      <c r="F929" s="312">
        <v>0.25</v>
      </c>
      <c r="G929" s="312">
        <v>0.3</v>
      </c>
      <c r="H929" s="312" t="s">
        <v>322</v>
      </c>
      <c r="I929" s="312">
        <v>0.2</v>
      </c>
      <c r="J929" s="313">
        <v>0.1</v>
      </c>
    </row>
    <row r="930" spans="1:10" ht="17.25" thickBot="1" x14ac:dyDescent="0.35">
      <c r="A930" s="314" t="s">
        <v>1185</v>
      </c>
      <c r="B930" s="315">
        <f t="shared" si="42"/>
        <v>0</v>
      </c>
      <c r="C930" s="315" t="str">
        <f t="shared" si="43"/>
        <v>Risaralda</v>
      </c>
      <c r="D930" s="315" t="str">
        <f t="shared" si="44"/>
        <v>Marsella, Risaralda</v>
      </c>
      <c r="E930" s="311">
        <v>66440</v>
      </c>
      <c r="F930" s="312">
        <v>0.25</v>
      </c>
      <c r="G930" s="312">
        <v>0.25</v>
      </c>
      <c r="H930" s="312" t="s">
        <v>322</v>
      </c>
      <c r="I930" s="312">
        <v>0.2</v>
      </c>
      <c r="J930" s="313">
        <v>0.1</v>
      </c>
    </row>
    <row r="931" spans="1:10" ht="17.25" thickBot="1" x14ac:dyDescent="0.35">
      <c r="A931" s="314" t="s">
        <v>1186</v>
      </c>
      <c r="B931" s="315">
        <f t="shared" si="42"/>
        <v>0</v>
      </c>
      <c r="C931" s="315" t="str">
        <f t="shared" si="43"/>
        <v>Risaralda</v>
      </c>
      <c r="D931" s="315" t="str">
        <f t="shared" si="44"/>
        <v>Mistrató, Risaralda</v>
      </c>
      <c r="E931" s="311">
        <v>66456</v>
      </c>
      <c r="F931" s="312">
        <v>0.3</v>
      </c>
      <c r="G931" s="312">
        <v>0.3</v>
      </c>
      <c r="H931" s="312" t="s">
        <v>322</v>
      </c>
      <c r="I931" s="312">
        <v>0.2</v>
      </c>
      <c r="J931" s="313">
        <v>0.1</v>
      </c>
    </row>
    <row r="932" spans="1:10" ht="17.25" thickBot="1" x14ac:dyDescent="0.35">
      <c r="A932" s="314" t="s">
        <v>1187</v>
      </c>
      <c r="B932" s="315">
        <f t="shared" si="42"/>
        <v>0</v>
      </c>
      <c r="C932" s="315" t="str">
        <f t="shared" si="43"/>
        <v>Risaralda</v>
      </c>
      <c r="D932" s="315" t="str">
        <f t="shared" si="44"/>
        <v>Pueblo Rico, Risaralda</v>
      </c>
      <c r="E932" s="311">
        <v>66572</v>
      </c>
      <c r="F932" s="312">
        <v>0.3</v>
      </c>
      <c r="G932" s="312">
        <v>0.3</v>
      </c>
      <c r="H932" s="312" t="s">
        <v>322</v>
      </c>
      <c r="I932" s="312">
        <v>0.2</v>
      </c>
      <c r="J932" s="313">
        <v>0.1</v>
      </c>
    </row>
    <row r="933" spans="1:10" ht="17.25" thickBot="1" x14ac:dyDescent="0.35">
      <c r="A933" s="314" t="s">
        <v>1188</v>
      </c>
      <c r="B933" s="315">
        <f t="shared" si="42"/>
        <v>0</v>
      </c>
      <c r="C933" s="315" t="str">
        <f t="shared" si="43"/>
        <v>Risaralda</v>
      </c>
      <c r="D933" s="315" t="str">
        <f t="shared" si="44"/>
        <v>Quinchía, Risaralda</v>
      </c>
      <c r="E933" s="311">
        <v>66594</v>
      </c>
      <c r="F933" s="312">
        <v>0.25</v>
      </c>
      <c r="G933" s="312">
        <v>0.3</v>
      </c>
      <c r="H933" s="312" t="s">
        <v>322</v>
      </c>
      <c r="I933" s="312">
        <v>0.2</v>
      </c>
      <c r="J933" s="313">
        <v>0.1</v>
      </c>
    </row>
    <row r="934" spans="1:10" ht="17.25" thickBot="1" x14ac:dyDescent="0.35">
      <c r="A934" s="314" t="s">
        <v>1189</v>
      </c>
      <c r="B934" s="315">
        <f t="shared" si="42"/>
        <v>0</v>
      </c>
      <c r="C934" s="315" t="str">
        <f t="shared" si="43"/>
        <v>Risaralda</v>
      </c>
      <c r="D934" s="315" t="str">
        <f t="shared" si="44"/>
        <v>Santa Rosa De Cabal, Risaralda</v>
      </c>
      <c r="E934" s="311">
        <v>66682</v>
      </c>
      <c r="F934" s="312">
        <v>0.25</v>
      </c>
      <c r="G934" s="312">
        <v>0.25</v>
      </c>
      <c r="H934" s="312" t="s">
        <v>322</v>
      </c>
      <c r="I934" s="312">
        <v>0.18</v>
      </c>
      <c r="J934" s="313">
        <v>0.09</v>
      </c>
    </row>
    <row r="935" spans="1:10" ht="17.25" thickBot="1" x14ac:dyDescent="0.35">
      <c r="A935" s="314" t="s">
        <v>439</v>
      </c>
      <c r="B935" s="315">
        <f t="shared" si="42"/>
        <v>0</v>
      </c>
      <c r="C935" s="315" t="str">
        <f t="shared" si="43"/>
        <v>Risaralda</v>
      </c>
      <c r="D935" s="315" t="str">
        <f t="shared" si="44"/>
        <v>Santuario, Risaralda</v>
      </c>
      <c r="E935" s="311">
        <v>66687</v>
      </c>
      <c r="F935" s="312">
        <v>0.3</v>
      </c>
      <c r="G935" s="312">
        <v>0.3</v>
      </c>
      <c r="H935" s="312" t="s">
        <v>322</v>
      </c>
      <c r="I935" s="312">
        <v>0.2</v>
      </c>
      <c r="J935" s="313">
        <v>0.1</v>
      </c>
    </row>
    <row r="936" spans="1:10" ht="17.25" thickBot="1" x14ac:dyDescent="0.35">
      <c r="A936" s="299" t="s">
        <v>1190</v>
      </c>
      <c r="B936" s="300">
        <f t="shared" si="42"/>
        <v>1</v>
      </c>
      <c r="C936" s="300" t="str">
        <f t="shared" si="43"/>
        <v>Santander</v>
      </c>
      <c r="D936" s="300" t="str">
        <f t="shared" si="44"/>
        <v/>
      </c>
      <c r="E936" s="301"/>
      <c r="F936" s="302"/>
      <c r="G936" s="302"/>
      <c r="H936" s="302"/>
      <c r="I936" s="302"/>
      <c r="J936" s="303"/>
    </row>
    <row r="937" spans="1:10" ht="17.25" thickBot="1" x14ac:dyDescent="0.35">
      <c r="A937" s="309" t="s">
        <v>1191</v>
      </c>
      <c r="B937" s="310">
        <f t="shared" si="42"/>
        <v>0</v>
      </c>
      <c r="C937" s="310" t="str">
        <f t="shared" si="43"/>
        <v>Santander</v>
      </c>
      <c r="D937" s="310" t="str">
        <f t="shared" si="44"/>
        <v>Bucaramanga, Santander</v>
      </c>
      <c r="E937" s="311">
        <v>68001</v>
      </c>
      <c r="F937" s="312">
        <v>0.25</v>
      </c>
      <c r="G937" s="312">
        <v>0.25</v>
      </c>
      <c r="H937" s="312" t="s">
        <v>322</v>
      </c>
      <c r="I937" s="312">
        <v>0.15</v>
      </c>
      <c r="J937" s="313">
        <v>0.09</v>
      </c>
    </row>
    <row r="938" spans="1:10" ht="17.25" thickBot="1" x14ac:dyDescent="0.35">
      <c r="A938" s="314" t="s">
        <v>1192</v>
      </c>
      <c r="B938" s="315">
        <f t="shared" si="42"/>
        <v>0</v>
      </c>
      <c r="C938" s="315" t="str">
        <f t="shared" si="43"/>
        <v>Santander</v>
      </c>
      <c r="D938" s="315" t="str">
        <f t="shared" si="44"/>
        <v>Aguada, Santander</v>
      </c>
      <c r="E938" s="311">
        <v>68013</v>
      </c>
      <c r="F938" s="312">
        <v>0.15</v>
      </c>
      <c r="G938" s="312">
        <v>0.2</v>
      </c>
      <c r="H938" s="312" t="s">
        <v>40</v>
      </c>
      <c r="I938" s="312">
        <v>0.17</v>
      </c>
      <c r="J938" s="313">
        <v>0.09</v>
      </c>
    </row>
    <row r="939" spans="1:10" ht="17.25" thickBot="1" x14ac:dyDescent="0.35">
      <c r="A939" s="314" t="s">
        <v>686</v>
      </c>
      <c r="B939" s="315">
        <f t="shared" si="42"/>
        <v>0</v>
      </c>
      <c r="C939" s="315" t="str">
        <f t="shared" si="43"/>
        <v>Santander</v>
      </c>
      <c r="D939" s="315" t="str">
        <f t="shared" si="44"/>
        <v>Albania, Santander</v>
      </c>
      <c r="E939" s="311">
        <v>68020</v>
      </c>
      <c r="F939" s="312">
        <v>0.15</v>
      </c>
      <c r="G939" s="312">
        <v>0.15</v>
      </c>
      <c r="H939" s="312" t="s">
        <v>40</v>
      </c>
      <c r="I939" s="312">
        <v>0.09</v>
      </c>
      <c r="J939" s="313">
        <v>0.06</v>
      </c>
    </row>
    <row r="940" spans="1:10" ht="17.25" thickBot="1" x14ac:dyDescent="0.35">
      <c r="A940" s="314" t="s">
        <v>1193</v>
      </c>
      <c r="B940" s="315">
        <f t="shared" si="42"/>
        <v>0</v>
      </c>
      <c r="C940" s="315" t="str">
        <f t="shared" si="43"/>
        <v>Santander</v>
      </c>
      <c r="D940" s="315" t="str">
        <f t="shared" si="44"/>
        <v>Aratoca, Santander</v>
      </c>
      <c r="E940" s="311">
        <v>68051</v>
      </c>
      <c r="F940" s="312">
        <v>0.25</v>
      </c>
      <c r="G940" s="312">
        <v>0.25</v>
      </c>
      <c r="H940" s="312" t="s">
        <v>322</v>
      </c>
      <c r="I940" s="312">
        <v>0.11</v>
      </c>
      <c r="J940" s="313">
        <v>7.0000000000000007E-2</v>
      </c>
    </row>
    <row r="941" spans="1:10" ht="17.25" thickBot="1" x14ac:dyDescent="0.35">
      <c r="A941" s="314" t="s">
        <v>348</v>
      </c>
      <c r="B941" s="315">
        <f t="shared" si="42"/>
        <v>0</v>
      </c>
      <c r="C941" s="315" t="str">
        <f t="shared" si="43"/>
        <v>Santander</v>
      </c>
      <c r="D941" s="315" t="str">
        <f t="shared" si="44"/>
        <v>Barbosa, Santander</v>
      </c>
      <c r="E941" s="311">
        <v>68077</v>
      </c>
      <c r="F941" s="312">
        <v>0.15</v>
      </c>
      <c r="G941" s="312">
        <v>0.2</v>
      </c>
      <c r="H941" s="312" t="s">
        <v>40</v>
      </c>
      <c r="I941" s="312">
        <v>0.09</v>
      </c>
      <c r="J941" s="313">
        <v>0.06</v>
      </c>
    </row>
    <row r="942" spans="1:10" ht="17.25" thickBot="1" x14ac:dyDescent="0.35">
      <c r="A942" s="314" t="s">
        <v>1194</v>
      </c>
      <c r="B942" s="315">
        <f t="shared" si="42"/>
        <v>0</v>
      </c>
      <c r="C942" s="315" t="str">
        <f t="shared" si="43"/>
        <v>Santander</v>
      </c>
      <c r="D942" s="315" t="str">
        <f t="shared" si="44"/>
        <v>Barichara, Santander</v>
      </c>
      <c r="E942" s="311">
        <v>68079</v>
      </c>
      <c r="F942" s="312">
        <v>0.2</v>
      </c>
      <c r="G942" s="312">
        <v>0.25</v>
      </c>
      <c r="H942" s="312" t="s">
        <v>322</v>
      </c>
      <c r="I942" s="312">
        <v>0.13</v>
      </c>
      <c r="J942" s="313">
        <v>0.08</v>
      </c>
    </row>
    <row r="943" spans="1:10" ht="17.25" thickBot="1" x14ac:dyDescent="0.35">
      <c r="A943" s="314" t="s">
        <v>1195</v>
      </c>
      <c r="B943" s="315">
        <f t="shared" si="42"/>
        <v>0</v>
      </c>
      <c r="C943" s="315" t="str">
        <f t="shared" si="43"/>
        <v>Santander</v>
      </c>
      <c r="D943" s="315" t="str">
        <f t="shared" si="44"/>
        <v>Barrancabermeja, Santander</v>
      </c>
      <c r="E943" s="311">
        <v>68081</v>
      </c>
      <c r="F943" s="312">
        <v>0.15</v>
      </c>
      <c r="G943" s="312">
        <v>0.15</v>
      </c>
      <c r="H943" s="312" t="s">
        <v>40</v>
      </c>
      <c r="I943" s="312">
        <v>0.06</v>
      </c>
      <c r="J943" s="313">
        <v>0.04</v>
      </c>
    </row>
    <row r="944" spans="1:10" ht="17.25" thickBot="1" x14ac:dyDescent="0.35">
      <c r="A944" s="314" t="s">
        <v>356</v>
      </c>
      <c r="B944" s="315">
        <f t="shared" si="42"/>
        <v>0</v>
      </c>
      <c r="C944" s="315" t="str">
        <f t="shared" si="43"/>
        <v>Santander</v>
      </c>
      <c r="D944" s="315" t="str">
        <f t="shared" si="44"/>
        <v>Betulia, Santander</v>
      </c>
      <c r="E944" s="311">
        <v>68092</v>
      </c>
      <c r="F944" s="312">
        <v>0.2</v>
      </c>
      <c r="G944" s="312">
        <v>0.2</v>
      </c>
      <c r="H944" s="312" t="s">
        <v>40</v>
      </c>
      <c r="I944" s="312">
        <v>0.13</v>
      </c>
      <c r="J944" s="313">
        <v>0.09</v>
      </c>
    </row>
    <row r="945" spans="1:10" ht="17.25" thickBot="1" x14ac:dyDescent="0.35">
      <c r="A945" s="314" t="s">
        <v>300</v>
      </c>
      <c r="B945" s="315">
        <f t="shared" si="42"/>
        <v>0</v>
      </c>
      <c r="C945" s="315" t="str">
        <f t="shared" si="43"/>
        <v>Santander</v>
      </c>
      <c r="D945" s="315" t="str">
        <f t="shared" si="44"/>
        <v>Bolívar, Santander</v>
      </c>
      <c r="E945" s="311">
        <v>68101</v>
      </c>
      <c r="F945" s="312">
        <v>0.15</v>
      </c>
      <c r="G945" s="312">
        <v>0.15</v>
      </c>
      <c r="H945" s="312" t="s">
        <v>40</v>
      </c>
      <c r="I945" s="312">
        <v>7.0000000000000007E-2</v>
      </c>
      <c r="J945" s="313">
        <v>0.04</v>
      </c>
    </row>
    <row r="946" spans="1:10" ht="17.25" thickBot="1" x14ac:dyDescent="0.35">
      <c r="A946" s="314" t="s">
        <v>847</v>
      </c>
      <c r="B946" s="315">
        <f t="shared" si="42"/>
        <v>0</v>
      </c>
      <c r="C946" s="315" t="str">
        <f t="shared" si="43"/>
        <v>Santander</v>
      </c>
      <c r="D946" s="315" t="str">
        <f t="shared" si="44"/>
        <v>Cabrera, Santander</v>
      </c>
      <c r="E946" s="311">
        <v>68121</v>
      </c>
      <c r="F946" s="312">
        <v>0.2</v>
      </c>
      <c r="G946" s="312">
        <v>0.2</v>
      </c>
      <c r="H946" s="312" t="s">
        <v>40</v>
      </c>
      <c r="I946" s="312">
        <v>0.13</v>
      </c>
      <c r="J946" s="313">
        <v>0.08</v>
      </c>
    </row>
    <row r="947" spans="1:10" ht="17.25" thickBot="1" x14ac:dyDescent="0.35">
      <c r="A947" s="314" t="s">
        <v>1196</v>
      </c>
      <c r="B947" s="315">
        <f t="shared" si="42"/>
        <v>0</v>
      </c>
      <c r="C947" s="315" t="str">
        <f t="shared" si="43"/>
        <v>Santander</v>
      </c>
      <c r="D947" s="315" t="str">
        <f t="shared" si="44"/>
        <v>California, Santander</v>
      </c>
      <c r="E947" s="311">
        <v>68132</v>
      </c>
      <c r="F947" s="312">
        <v>0.25</v>
      </c>
      <c r="G947" s="312">
        <v>0.25</v>
      </c>
      <c r="H947" s="312" t="s">
        <v>322</v>
      </c>
      <c r="I947" s="312">
        <v>0.09</v>
      </c>
      <c r="J947" s="313">
        <v>0.05</v>
      </c>
    </row>
    <row r="948" spans="1:10" ht="17.25" thickBot="1" x14ac:dyDescent="0.35">
      <c r="A948" s="314" t="s">
        <v>1197</v>
      </c>
      <c r="B948" s="315">
        <f t="shared" si="42"/>
        <v>0</v>
      </c>
      <c r="C948" s="315" t="str">
        <f t="shared" si="43"/>
        <v>Santander</v>
      </c>
      <c r="D948" s="315" t="str">
        <f t="shared" si="44"/>
        <v>Capitanejo, Santander</v>
      </c>
      <c r="E948" s="311">
        <v>68147</v>
      </c>
      <c r="F948" s="312">
        <v>0.25</v>
      </c>
      <c r="G948" s="312">
        <v>0.25</v>
      </c>
      <c r="H948" s="312" t="s">
        <v>322</v>
      </c>
      <c r="I948" s="312">
        <v>0.11</v>
      </c>
      <c r="J948" s="313">
        <v>0.06</v>
      </c>
    </row>
    <row r="949" spans="1:10" ht="17.25" thickBot="1" x14ac:dyDescent="0.35">
      <c r="A949" s="314" t="s">
        <v>1198</v>
      </c>
      <c r="B949" s="315">
        <f t="shared" si="42"/>
        <v>0</v>
      </c>
      <c r="C949" s="315" t="str">
        <f t="shared" si="43"/>
        <v>Santander</v>
      </c>
      <c r="D949" s="315" t="str">
        <f t="shared" si="44"/>
        <v>Carcasi, Santander</v>
      </c>
      <c r="E949" s="311">
        <v>68152</v>
      </c>
      <c r="F949" s="312">
        <v>0.25</v>
      </c>
      <c r="G949" s="312">
        <v>0.25</v>
      </c>
      <c r="H949" s="312" t="s">
        <v>322</v>
      </c>
      <c r="I949" s="312">
        <v>0.12</v>
      </c>
      <c r="J949" s="313">
        <v>0.06</v>
      </c>
    </row>
    <row r="950" spans="1:10" ht="17.25" thickBot="1" x14ac:dyDescent="0.35">
      <c r="A950" s="314" t="s">
        <v>1199</v>
      </c>
      <c r="B950" s="315">
        <f t="shared" si="42"/>
        <v>0</v>
      </c>
      <c r="C950" s="315" t="str">
        <f t="shared" si="43"/>
        <v>Santander</v>
      </c>
      <c r="D950" s="315" t="str">
        <f t="shared" si="44"/>
        <v>Cepitá, Santander</v>
      </c>
      <c r="E950" s="311">
        <v>68160</v>
      </c>
      <c r="F950" s="312">
        <v>0.25</v>
      </c>
      <c r="G950" s="312">
        <v>0.25</v>
      </c>
      <c r="H950" s="312" t="s">
        <v>322</v>
      </c>
      <c r="I950" s="312">
        <v>0.11</v>
      </c>
      <c r="J950" s="313">
        <v>0.06</v>
      </c>
    </row>
    <row r="951" spans="1:10" ht="17.25" thickBot="1" x14ac:dyDescent="0.35">
      <c r="A951" s="314" t="s">
        <v>1200</v>
      </c>
      <c r="B951" s="315">
        <f t="shared" si="42"/>
        <v>0</v>
      </c>
      <c r="C951" s="315" t="str">
        <f t="shared" si="43"/>
        <v>Santander</v>
      </c>
      <c r="D951" s="315" t="str">
        <f t="shared" si="44"/>
        <v>Cerrito, Santander</v>
      </c>
      <c r="E951" s="311">
        <v>68162</v>
      </c>
      <c r="F951" s="312">
        <v>0.25</v>
      </c>
      <c r="G951" s="312">
        <v>0.25</v>
      </c>
      <c r="H951" s="312" t="s">
        <v>322</v>
      </c>
      <c r="I951" s="312">
        <v>0.11</v>
      </c>
      <c r="J951" s="313">
        <v>0.06</v>
      </c>
    </row>
    <row r="952" spans="1:10" ht="17.25" thickBot="1" x14ac:dyDescent="0.35">
      <c r="A952" s="314" t="s">
        <v>1201</v>
      </c>
      <c r="B952" s="315">
        <f t="shared" si="42"/>
        <v>0</v>
      </c>
      <c r="C952" s="315" t="str">
        <f t="shared" si="43"/>
        <v>Santander</v>
      </c>
      <c r="D952" s="315" t="str">
        <f t="shared" si="44"/>
        <v>Charalá, Santander</v>
      </c>
      <c r="E952" s="311">
        <v>68167</v>
      </c>
      <c r="F952" s="312">
        <v>0.2</v>
      </c>
      <c r="G952" s="312">
        <v>0.25</v>
      </c>
      <c r="H952" s="312" t="s">
        <v>322</v>
      </c>
      <c r="I952" s="312">
        <v>0.08</v>
      </c>
      <c r="J952" s="313">
        <v>0.05</v>
      </c>
    </row>
    <row r="953" spans="1:10" ht="17.25" thickBot="1" x14ac:dyDescent="0.35">
      <c r="A953" s="314" t="s">
        <v>1202</v>
      </c>
      <c r="B953" s="315">
        <f t="shared" si="42"/>
        <v>0</v>
      </c>
      <c r="C953" s="315" t="str">
        <f t="shared" si="43"/>
        <v>Santander</v>
      </c>
      <c r="D953" s="315" t="str">
        <f t="shared" si="44"/>
        <v>Charta, Santander</v>
      </c>
      <c r="E953" s="311">
        <v>68169</v>
      </c>
      <c r="F953" s="312">
        <v>0.25</v>
      </c>
      <c r="G953" s="312">
        <v>0.25</v>
      </c>
      <c r="H953" s="312" t="s">
        <v>322</v>
      </c>
      <c r="I953" s="312">
        <v>0.09</v>
      </c>
      <c r="J953" s="313">
        <v>0.06</v>
      </c>
    </row>
    <row r="954" spans="1:10" ht="17.25" thickBot="1" x14ac:dyDescent="0.35">
      <c r="A954" s="314" t="s">
        <v>1203</v>
      </c>
      <c r="B954" s="315">
        <f t="shared" si="42"/>
        <v>0</v>
      </c>
      <c r="C954" s="315" t="str">
        <f t="shared" si="43"/>
        <v>Santander</v>
      </c>
      <c r="D954" s="315" t="str">
        <f t="shared" si="44"/>
        <v>Chima, Santander</v>
      </c>
      <c r="E954" s="311">
        <v>68176</v>
      </c>
      <c r="F954" s="312">
        <v>0.15</v>
      </c>
      <c r="G954" s="312">
        <v>0.2</v>
      </c>
      <c r="H954" s="312" t="s">
        <v>40</v>
      </c>
      <c r="I954" s="312">
        <v>0.2</v>
      </c>
      <c r="J954" s="313">
        <v>0.1</v>
      </c>
    </row>
    <row r="955" spans="1:10" ht="17.25" thickBot="1" x14ac:dyDescent="0.35">
      <c r="A955" s="314" t="s">
        <v>1204</v>
      </c>
      <c r="B955" s="315">
        <f t="shared" si="42"/>
        <v>0</v>
      </c>
      <c r="C955" s="315" t="str">
        <f t="shared" si="43"/>
        <v>Santander</v>
      </c>
      <c r="D955" s="315" t="str">
        <f t="shared" si="44"/>
        <v>Chipatá, Santander</v>
      </c>
      <c r="E955" s="311">
        <v>68179</v>
      </c>
      <c r="F955" s="312">
        <v>0.15</v>
      </c>
      <c r="G955" s="312">
        <v>0.2</v>
      </c>
      <c r="H955" s="312" t="s">
        <v>40</v>
      </c>
      <c r="I955" s="312">
        <v>0.11</v>
      </c>
      <c r="J955" s="313">
        <v>7.0000000000000007E-2</v>
      </c>
    </row>
    <row r="956" spans="1:10" ht="17.25" thickBot="1" x14ac:dyDescent="0.35">
      <c r="A956" s="314" t="s">
        <v>1205</v>
      </c>
      <c r="B956" s="315">
        <f t="shared" si="42"/>
        <v>0</v>
      </c>
      <c r="C956" s="315" t="str">
        <f t="shared" si="43"/>
        <v>Santander</v>
      </c>
      <c r="D956" s="315" t="str">
        <f t="shared" si="44"/>
        <v>Cimitarra, Santander</v>
      </c>
      <c r="E956" s="311">
        <v>68190</v>
      </c>
      <c r="F956" s="312">
        <v>0.15</v>
      </c>
      <c r="G956" s="312">
        <v>0.15</v>
      </c>
      <c r="H956" s="312" t="s">
        <v>40</v>
      </c>
      <c r="I956" s="312">
        <v>0.06</v>
      </c>
      <c r="J956" s="313">
        <v>0.04</v>
      </c>
    </row>
    <row r="957" spans="1:10" ht="17.25" thickBot="1" x14ac:dyDescent="0.35">
      <c r="A957" s="314" t="s">
        <v>374</v>
      </c>
      <c r="B957" s="315">
        <f t="shared" si="42"/>
        <v>0</v>
      </c>
      <c r="C957" s="315" t="str">
        <f t="shared" si="43"/>
        <v>Santander</v>
      </c>
      <c r="D957" s="315" t="str">
        <f t="shared" si="44"/>
        <v>Concepción, Santander</v>
      </c>
      <c r="E957" s="311">
        <v>68207</v>
      </c>
      <c r="F957" s="312">
        <v>0.25</v>
      </c>
      <c r="G957" s="312">
        <v>0.25</v>
      </c>
      <c r="H957" s="312" t="s">
        <v>322</v>
      </c>
      <c r="I957" s="312">
        <v>0.12</v>
      </c>
      <c r="J957" s="313">
        <v>0.06</v>
      </c>
    </row>
    <row r="958" spans="1:10" ht="17.25" thickBot="1" x14ac:dyDescent="0.35">
      <c r="A958" s="314" t="s">
        <v>1206</v>
      </c>
      <c r="B958" s="315">
        <f t="shared" si="42"/>
        <v>0</v>
      </c>
      <c r="C958" s="315" t="str">
        <f t="shared" si="43"/>
        <v>Santander</v>
      </c>
      <c r="D958" s="315" t="str">
        <f t="shared" si="44"/>
        <v>Confines, Santander</v>
      </c>
      <c r="E958" s="311">
        <v>68209</v>
      </c>
      <c r="F958" s="312">
        <v>0.2</v>
      </c>
      <c r="G958" s="312">
        <v>0.2</v>
      </c>
      <c r="H958" s="312" t="s">
        <v>40</v>
      </c>
      <c r="I958" s="312">
        <v>0.09</v>
      </c>
      <c r="J958" s="313">
        <v>0.06</v>
      </c>
    </row>
    <row r="959" spans="1:10" ht="17.25" thickBot="1" x14ac:dyDescent="0.35">
      <c r="A959" s="314" t="s">
        <v>1207</v>
      </c>
      <c r="B959" s="315">
        <f t="shared" si="42"/>
        <v>0</v>
      </c>
      <c r="C959" s="315" t="str">
        <f t="shared" si="43"/>
        <v>Santander</v>
      </c>
      <c r="D959" s="315" t="str">
        <f t="shared" si="44"/>
        <v>Contratación, Santander</v>
      </c>
      <c r="E959" s="311">
        <v>68211</v>
      </c>
      <c r="F959" s="312">
        <v>0.15</v>
      </c>
      <c r="G959" s="312">
        <v>0.2</v>
      </c>
      <c r="H959" s="312" t="s">
        <v>40</v>
      </c>
      <c r="I959" s="312">
        <v>0.2</v>
      </c>
      <c r="J959" s="313">
        <v>0.1</v>
      </c>
    </row>
    <row r="960" spans="1:10" ht="17.25" thickBot="1" x14ac:dyDescent="0.35">
      <c r="A960" s="314" t="s">
        <v>1208</v>
      </c>
      <c r="B960" s="315">
        <f t="shared" si="42"/>
        <v>0</v>
      </c>
      <c r="C960" s="315" t="str">
        <f t="shared" si="43"/>
        <v>Santander</v>
      </c>
      <c r="D960" s="315" t="str">
        <f t="shared" si="44"/>
        <v>Coromoro, Santander</v>
      </c>
      <c r="E960" s="311">
        <v>68217</v>
      </c>
      <c r="F960" s="312">
        <v>0.2</v>
      </c>
      <c r="G960" s="312">
        <v>0.25</v>
      </c>
      <c r="H960" s="312" t="s">
        <v>322</v>
      </c>
      <c r="I960" s="312">
        <v>0.09</v>
      </c>
      <c r="J960" s="313">
        <v>0.06</v>
      </c>
    </row>
    <row r="961" spans="1:10" ht="17.25" thickBot="1" x14ac:dyDescent="0.35">
      <c r="A961" s="314" t="s">
        <v>1209</v>
      </c>
      <c r="B961" s="315">
        <f t="shared" si="42"/>
        <v>0</v>
      </c>
      <c r="C961" s="315" t="str">
        <f t="shared" si="43"/>
        <v>Santander</v>
      </c>
      <c r="D961" s="315" t="str">
        <f t="shared" si="44"/>
        <v>Curití, Santander</v>
      </c>
      <c r="E961" s="311">
        <v>68229</v>
      </c>
      <c r="F961" s="312">
        <v>0.2</v>
      </c>
      <c r="G961" s="312">
        <v>0.25</v>
      </c>
      <c r="H961" s="312" t="s">
        <v>322</v>
      </c>
      <c r="I961" s="312">
        <v>0.1</v>
      </c>
      <c r="J961" s="313">
        <v>0.06</v>
      </c>
    </row>
    <row r="962" spans="1:10" ht="17.25" thickBot="1" x14ac:dyDescent="0.35">
      <c r="A962" s="314" t="s">
        <v>1210</v>
      </c>
      <c r="B962" s="315">
        <f t="shared" si="42"/>
        <v>0</v>
      </c>
      <c r="C962" s="315" t="str">
        <f t="shared" si="43"/>
        <v>Santander</v>
      </c>
      <c r="D962" s="315" t="str">
        <f t="shared" si="44"/>
        <v>El Carmen De Chucurí, Santander</v>
      </c>
      <c r="E962" s="311">
        <v>68235</v>
      </c>
      <c r="F962" s="312">
        <v>0.15</v>
      </c>
      <c r="G962" s="312">
        <v>0.15</v>
      </c>
      <c r="H962" s="312" t="s">
        <v>40</v>
      </c>
      <c r="I962" s="312">
        <v>0.17</v>
      </c>
      <c r="J962" s="313">
        <v>0.08</v>
      </c>
    </row>
    <row r="963" spans="1:10" ht="17.25" thickBot="1" x14ac:dyDescent="0.35">
      <c r="A963" s="314" t="s">
        <v>1211</v>
      </c>
      <c r="B963" s="315">
        <f t="shared" ref="B963:B1026" si="45">IFERROR(FIND("Departamento",A963),0)</f>
        <v>0</v>
      </c>
      <c r="C963" s="315" t="str">
        <f t="shared" ref="C963:C1026" si="46">IF(B963=1,IF(ISERROR(FIND("del",A963)),MID(A963,17,30),MID(A963,18,30)),C962)</f>
        <v>Santander</v>
      </c>
      <c r="D963" s="315" t="str">
        <f t="shared" ref="D963:D1026" si="47">IF(B963=1,"",CONCATENATE(A963,", ",C963))</f>
        <v>El Florian, Santander</v>
      </c>
      <c r="E963" s="311">
        <v>68271</v>
      </c>
      <c r="F963" s="312">
        <v>0.15</v>
      </c>
      <c r="G963" s="312">
        <v>0.15</v>
      </c>
      <c r="H963" s="312" t="s">
        <v>40</v>
      </c>
      <c r="I963" s="312">
        <v>0.12</v>
      </c>
      <c r="J963" s="313">
        <v>7.0000000000000007E-2</v>
      </c>
    </row>
    <row r="964" spans="1:10" ht="17.25" thickBot="1" x14ac:dyDescent="0.35">
      <c r="A964" s="314" t="s">
        <v>1212</v>
      </c>
      <c r="B964" s="315">
        <f t="shared" si="45"/>
        <v>0</v>
      </c>
      <c r="C964" s="315" t="str">
        <f t="shared" si="46"/>
        <v>Santander</v>
      </c>
      <c r="D964" s="315" t="str">
        <f t="shared" si="47"/>
        <v>El Guacamayo, Santander</v>
      </c>
      <c r="E964" s="311">
        <v>68245</v>
      </c>
      <c r="F964" s="312">
        <v>0.15</v>
      </c>
      <c r="G964" s="312">
        <v>0.2</v>
      </c>
      <c r="H964" s="312" t="s">
        <v>40</v>
      </c>
      <c r="I964" s="312">
        <v>0.18</v>
      </c>
      <c r="J964" s="313">
        <v>0.1</v>
      </c>
    </row>
    <row r="965" spans="1:10" ht="17.25" thickBot="1" x14ac:dyDescent="0.35">
      <c r="A965" s="314" t="s">
        <v>507</v>
      </c>
      <c r="B965" s="315">
        <f t="shared" si="45"/>
        <v>0</v>
      </c>
      <c r="C965" s="315" t="str">
        <f t="shared" si="46"/>
        <v>Santander</v>
      </c>
      <c r="D965" s="315" t="str">
        <f t="shared" si="47"/>
        <v>El Peñón, Santander</v>
      </c>
      <c r="E965" s="311">
        <v>68250</v>
      </c>
      <c r="F965" s="312">
        <v>0.15</v>
      </c>
      <c r="G965" s="312">
        <v>0.15</v>
      </c>
      <c r="H965" s="312" t="s">
        <v>40</v>
      </c>
      <c r="I965" s="312">
        <v>0.16</v>
      </c>
      <c r="J965" s="313">
        <v>7.0000000000000007E-2</v>
      </c>
    </row>
    <row r="966" spans="1:10" ht="17.25" thickBot="1" x14ac:dyDescent="0.35">
      <c r="A966" s="314" t="s">
        <v>1213</v>
      </c>
      <c r="B966" s="315">
        <f t="shared" si="45"/>
        <v>0</v>
      </c>
      <c r="C966" s="315" t="str">
        <f t="shared" si="46"/>
        <v>Santander</v>
      </c>
      <c r="D966" s="315" t="str">
        <f t="shared" si="47"/>
        <v>El Playón, Santander</v>
      </c>
      <c r="E966" s="311">
        <v>68255</v>
      </c>
      <c r="F966" s="312">
        <v>0.25</v>
      </c>
      <c r="G966" s="312">
        <v>0.25</v>
      </c>
      <c r="H966" s="312" t="s">
        <v>322</v>
      </c>
      <c r="I966" s="312">
        <v>0.14000000000000001</v>
      </c>
      <c r="J966" s="313">
        <v>7.0000000000000007E-2</v>
      </c>
    </row>
    <row r="967" spans="1:10" ht="17.25" thickBot="1" x14ac:dyDescent="0.35">
      <c r="A967" s="314" t="s">
        <v>1214</v>
      </c>
      <c r="B967" s="315">
        <f t="shared" si="45"/>
        <v>0</v>
      </c>
      <c r="C967" s="315" t="str">
        <f t="shared" si="46"/>
        <v>Santander</v>
      </c>
      <c r="D967" s="315" t="str">
        <f t="shared" si="47"/>
        <v>Encino, Santander</v>
      </c>
      <c r="E967" s="311">
        <v>68264</v>
      </c>
      <c r="F967" s="312">
        <v>0.2</v>
      </c>
      <c r="G967" s="312">
        <v>0.25</v>
      </c>
      <c r="H967" s="312" t="s">
        <v>322</v>
      </c>
      <c r="I967" s="312">
        <v>0.09</v>
      </c>
      <c r="J967" s="313">
        <v>0.05</v>
      </c>
    </row>
    <row r="968" spans="1:10" ht="17.25" thickBot="1" x14ac:dyDescent="0.35">
      <c r="A968" s="314" t="s">
        <v>1215</v>
      </c>
      <c r="B968" s="315">
        <f t="shared" si="45"/>
        <v>0</v>
      </c>
      <c r="C968" s="315" t="str">
        <f t="shared" si="46"/>
        <v>Santander</v>
      </c>
      <c r="D968" s="315" t="str">
        <f t="shared" si="47"/>
        <v>Enciso, Santander</v>
      </c>
      <c r="E968" s="311">
        <v>68266</v>
      </c>
      <c r="F968" s="312">
        <v>0.25</v>
      </c>
      <c r="G968" s="312">
        <v>0.25</v>
      </c>
      <c r="H968" s="312" t="s">
        <v>322</v>
      </c>
      <c r="I968" s="312">
        <v>0.1</v>
      </c>
      <c r="J968" s="313">
        <v>0.05</v>
      </c>
    </row>
    <row r="969" spans="1:10" ht="17.25" thickBot="1" x14ac:dyDescent="0.35">
      <c r="A969" s="314" t="s">
        <v>1216</v>
      </c>
      <c r="B969" s="315">
        <f t="shared" si="45"/>
        <v>0</v>
      </c>
      <c r="C969" s="315" t="str">
        <f t="shared" si="46"/>
        <v>Santander</v>
      </c>
      <c r="D969" s="315" t="str">
        <f t="shared" si="47"/>
        <v>Floridablanca, Santander</v>
      </c>
      <c r="E969" s="311">
        <v>68276</v>
      </c>
      <c r="F969" s="312">
        <v>0.25</v>
      </c>
      <c r="G969" s="312">
        <v>0.25</v>
      </c>
      <c r="H969" s="312" t="s">
        <v>322</v>
      </c>
      <c r="I969" s="312">
        <v>0.13</v>
      </c>
      <c r="J969" s="313">
        <v>0.08</v>
      </c>
    </row>
    <row r="970" spans="1:10" ht="17.25" thickBot="1" x14ac:dyDescent="0.35">
      <c r="A970" s="314" t="s">
        <v>1217</v>
      </c>
      <c r="B970" s="315">
        <f t="shared" si="45"/>
        <v>0</v>
      </c>
      <c r="C970" s="315" t="str">
        <f t="shared" si="46"/>
        <v>Santander</v>
      </c>
      <c r="D970" s="315" t="str">
        <f t="shared" si="47"/>
        <v>Galán, Santander</v>
      </c>
      <c r="E970" s="311">
        <v>68296</v>
      </c>
      <c r="F970" s="312">
        <v>0.15</v>
      </c>
      <c r="G970" s="312">
        <v>0.2</v>
      </c>
      <c r="H970" s="312" t="s">
        <v>40</v>
      </c>
      <c r="I970" s="312">
        <v>0.2</v>
      </c>
      <c r="J970" s="313">
        <v>0.1</v>
      </c>
    </row>
    <row r="971" spans="1:10" ht="17.25" thickBot="1" x14ac:dyDescent="0.35">
      <c r="A971" s="314" t="s">
        <v>1218</v>
      </c>
      <c r="B971" s="315">
        <f t="shared" si="45"/>
        <v>0</v>
      </c>
      <c r="C971" s="315" t="str">
        <f t="shared" si="46"/>
        <v>Santander</v>
      </c>
      <c r="D971" s="315" t="str">
        <f t="shared" si="47"/>
        <v>Gámbita, Santander</v>
      </c>
      <c r="E971" s="311">
        <v>68298</v>
      </c>
      <c r="F971" s="312">
        <v>0.2</v>
      </c>
      <c r="G971" s="312">
        <v>0.2</v>
      </c>
      <c r="H971" s="312" t="s">
        <v>40</v>
      </c>
      <c r="I971" s="312">
        <v>7.0000000000000007E-2</v>
      </c>
      <c r="J971" s="313">
        <v>0.05</v>
      </c>
    </row>
    <row r="972" spans="1:10" ht="17.25" thickBot="1" x14ac:dyDescent="0.35">
      <c r="A972" s="314" t="s">
        <v>1219</v>
      </c>
      <c r="B972" s="315">
        <f t="shared" si="45"/>
        <v>0</v>
      </c>
      <c r="C972" s="315" t="str">
        <f t="shared" si="46"/>
        <v>Santander</v>
      </c>
      <c r="D972" s="315" t="str">
        <f t="shared" si="47"/>
        <v>Goepsa, Santander</v>
      </c>
      <c r="E972" s="311">
        <v>68327</v>
      </c>
      <c r="F972" s="312">
        <v>0.15</v>
      </c>
      <c r="G972" s="312">
        <v>0.2</v>
      </c>
      <c r="H972" s="312" t="s">
        <v>40</v>
      </c>
      <c r="I972" s="312">
        <v>0.09</v>
      </c>
      <c r="J972" s="313">
        <v>0.06</v>
      </c>
    </row>
    <row r="973" spans="1:10" ht="17.25" thickBot="1" x14ac:dyDescent="0.35">
      <c r="A973" s="314" t="s">
        <v>1220</v>
      </c>
      <c r="B973" s="315">
        <f t="shared" si="45"/>
        <v>0</v>
      </c>
      <c r="C973" s="315" t="str">
        <f t="shared" si="46"/>
        <v>Santander</v>
      </c>
      <c r="D973" s="315" t="str">
        <f t="shared" si="47"/>
        <v>Girón, Santander</v>
      </c>
      <c r="E973" s="311">
        <v>68307</v>
      </c>
      <c r="F973" s="312">
        <v>0.2</v>
      </c>
      <c r="G973" s="312">
        <v>0.25</v>
      </c>
      <c r="H973" s="312" t="s">
        <v>322</v>
      </c>
      <c r="I973" s="312">
        <v>0.18</v>
      </c>
      <c r="J973" s="313">
        <v>0.1</v>
      </c>
    </row>
    <row r="974" spans="1:10" ht="17.25" thickBot="1" x14ac:dyDescent="0.35">
      <c r="A974" s="314" t="s">
        <v>1221</v>
      </c>
      <c r="B974" s="315">
        <f t="shared" si="45"/>
        <v>0</v>
      </c>
      <c r="C974" s="315" t="str">
        <f t="shared" si="46"/>
        <v>Santander</v>
      </c>
      <c r="D974" s="315" t="str">
        <f t="shared" si="47"/>
        <v>Guaca, Santander</v>
      </c>
      <c r="E974" s="311">
        <v>68318</v>
      </c>
      <c r="F974" s="312">
        <v>0.25</v>
      </c>
      <c r="G974" s="312">
        <v>0.25</v>
      </c>
      <c r="H974" s="312" t="s">
        <v>322</v>
      </c>
      <c r="I974" s="312">
        <v>0.09</v>
      </c>
      <c r="J974" s="313">
        <v>0.05</v>
      </c>
    </row>
    <row r="975" spans="1:10" ht="17.25" thickBot="1" x14ac:dyDescent="0.35">
      <c r="A975" s="314" t="s">
        <v>389</v>
      </c>
      <c r="B975" s="315">
        <f t="shared" si="45"/>
        <v>0</v>
      </c>
      <c r="C975" s="315" t="str">
        <f t="shared" si="46"/>
        <v>Santander</v>
      </c>
      <c r="D975" s="315" t="str">
        <f t="shared" si="47"/>
        <v>Guadalupe, Santander</v>
      </c>
      <c r="E975" s="311">
        <v>68320</v>
      </c>
      <c r="F975" s="312">
        <v>0.15</v>
      </c>
      <c r="G975" s="312">
        <v>0.2</v>
      </c>
      <c r="H975" s="312" t="s">
        <v>40</v>
      </c>
      <c r="I975" s="312">
        <v>0.16</v>
      </c>
      <c r="J975" s="313">
        <v>0.09</v>
      </c>
    </row>
    <row r="976" spans="1:10" ht="17.25" thickBot="1" x14ac:dyDescent="0.35">
      <c r="A976" s="314" t="s">
        <v>1222</v>
      </c>
      <c r="B976" s="315">
        <f t="shared" si="45"/>
        <v>0</v>
      </c>
      <c r="C976" s="315" t="str">
        <f t="shared" si="46"/>
        <v>Santander</v>
      </c>
      <c r="D976" s="315" t="str">
        <f t="shared" si="47"/>
        <v>Guapotá, Santander</v>
      </c>
      <c r="E976" s="311">
        <v>68322</v>
      </c>
      <c r="F976" s="312">
        <v>0.15</v>
      </c>
      <c r="G976" s="312">
        <v>0.2</v>
      </c>
      <c r="H976" s="312" t="s">
        <v>40</v>
      </c>
      <c r="I976" s="312">
        <v>0.12</v>
      </c>
      <c r="J976" s="313">
        <v>0.08</v>
      </c>
    </row>
    <row r="977" spans="1:10" ht="17.25" thickBot="1" x14ac:dyDescent="0.35">
      <c r="A977" s="314" t="s">
        <v>1223</v>
      </c>
      <c r="B977" s="315">
        <f t="shared" si="45"/>
        <v>0</v>
      </c>
      <c r="C977" s="315" t="str">
        <f t="shared" si="46"/>
        <v>Santander</v>
      </c>
      <c r="D977" s="315" t="str">
        <f t="shared" si="47"/>
        <v>Guavatá, Santander</v>
      </c>
      <c r="E977" s="311">
        <v>68324</v>
      </c>
      <c r="F977" s="312">
        <v>0.15</v>
      </c>
      <c r="G977" s="312">
        <v>0.15</v>
      </c>
      <c r="H977" s="312" t="s">
        <v>40</v>
      </c>
      <c r="I977" s="312">
        <v>0.1</v>
      </c>
      <c r="J977" s="313">
        <v>0.06</v>
      </c>
    </row>
    <row r="978" spans="1:10" ht="17.25" thickBot="1" x14ac:dyDescent="0.35">
      <c r="A978" s="314" t="s">
        <v>1224</v>
      </c>
      <c r="B978" s="315">
        <f t="shared" si="45"/>
        <v>0</v>
      </c>
      <c r="C978" s="315" t="str">
        <f t="shared" si="46"/>
        <v>Santander</v>
      </c>
      <c r="D978" s="315" t="str">
        <f t="shared" si="47"/>
        <v>Hato, Santander</v>
      </c>
      <c r="E978" s="311">
        <v>68344</v>
      </c>
      <c r="F978" s="312">
        <v>0.15</v>
      </c>
      <c r="G978" s="312">
        <v>0.2</v>
      </c>
      <c r="H978" s="312" t="s">
        <v>40</v>
      </c>
      <c r="I978" s="312">
        <v>0.21</v>
      </c>
      <c r="J978" s="313">
        <v>0.1</v>
      </c>
    </row>
    <row r="979" spans="1:10" ht="17.25" thickBot="1" x14ac:dyDescent="0.35">
      <c r="A979" s="314" t="s">
        <v>1225</v>
      </c>
      <c r="B979" s="315">
        <f t="shared" si="45"/>
        <v>0</v>
      </c>
      <c r="C979" s="315" t="str">
        <f t="shared" si="46"/>
        <v>Santander</v>
      </c>
      <c r="D979" s="315" t="str">
        <f t="shared" si="47"/>
        <v>Jesús Maria, Santander</v>
      </c>
      <c r="E979" s="311">
        <v>68368</v>
      </c>
      <c r="F979" s="312">
        <v>0.15</v>
      </c>
      <c r="G979" s="312">
        <v>0.15</v>
      </c>
      <c r="H979" s="312" t="s">
        <v>40</v>
      </c>
      <c r="I979" s="312">
        <v>0.1</v>
      </c>
      <c r="J979" s="313">
        <v>0.06</v>
      </c>
    </row>
    <row r="980" spans="1:10" ht="17.25" thickBot="1" x14ac:dyDescent="0.35">
      <c r="A980" s="314" t="s">
        <v>1226</v>
      </c>
      <c r="B980" s="315">
        <f t="shared" si="45"/>
        <v>0</v>
      </c>
      <c r="C980" s="315" t="str">
        <f t="shared" si="46"/>
        <v>Santander</v>
      </c>
      <c r="D980" s="315" t="str">
        <f t="shared" si="47"/>
        <v>Jordán, Santander</v>
      </c>
      <c r="E980" s="311">
        <v>68370</v>
      </c>
      <c r="F980" s="312">
        <v>0.2</v>
      </c>
      <c r="G980" s="312">
        <v>0.25</v>
      </c>
      <c r="H980" s="312" t="s">
        <v>322</v>
      </c>
      <c r="I980" s="312">
        <v>0.1</v>
      </c>
      <c r="J980" s="313">
        <v>7.0000000000000007E-2</v>
      </c>
    </row>
    <row r="981" spans="1:10" ht="17.25" thickBot="1" x14ac:dyDescent="0.35">
      <c r="A981" s="314" t="s">
        <v>1227</v>
      </c>
      <c r="B981" s="315">
        <f t="shared" si="45"/>
        <v>0</v>
      </c>
      <c r="C981" s="315" t="str">
        <f t="shared" si="46"/>
        <v>Santander</v>
      </c>
      <c r="D981" s="315" t="str">
        <f t="shared" si="47"/>
        <v>La Belleza, Santander</v>
      </c>
      <c r="E981" s="311">
        <v>68377</v>
      </c>
      <c r="F981" s="312">
        <v>0.15</v>
      </c>
      <c r="G981" s="312">
        <v>0.15</v>
      </c>
      <c r="H981" s="312" t="s">
        <v>40</v>
      </c>
      <c r="I981" s="312">
        <v>0.16</v>
      </c>
      <c r="J981" s="313">
        <v>7.0000000000000007E-2</v>
      </c>
    </row>
    <row r="982" spans="1:10" ht="17.25" thickBot="1" x14ac:dyDescent="0.35">
      <c r="A982" s="314" t="s">
        <v>769</v>
      </c>
      <c r="B982" s="315">
        <f t="shared" si="45"/>
        <v>0</v>
      </c>
      <c r="C982" s="315" t="str">
        <f t="shared" si="46"/>
        <v>Santander</v>
      </c>
      <c r="D982" s="315" t="str">
        <f t="shared" si="47"/>
        <v>La Paz, Santander</v>
      </c>
      <c r="E982" s="311">
        <v>68397</v>
      </c>
      <c r="F982" s="312">
        <v>0.15</v>
      </c>
      <c r="G982" s="312">
        <v>0.15</v>
      </c>
      <c r="H982" s="312" t="s">
        <v>40</v>
      </c>
      <c r="I982" s="312">
        <v>0.14000000000000001</v>
      </c>
      <c r="J982" s="313">
        <v>0.09</v>
      </c>
    </row>
    <row r="983" spans="1:10" ht="17.25" thickBot="1" x14ac:dyDescent="0.35">
      <c r="A983" s="314" t="s">
        <v>1228</v>
      </c>
      <c r="B983" s="315">
        <f t="shared" si="45"/>
        <v>0</v>
      </c>
      <c r="C983" s="315" t="str">
        <f t="shared" si="46"/>
        <v>Santander</v>
      </c>
      <c r="D983" s="315" t="str">
        <f t="shared" si="47"/>
        <v>Landázuri, Santander</v>
      </c>
      <c r="E983" s="311">
        <v>68385</v>
      </c>
      <c r="F983" s="312">
        <v>0.15</v>
      </c>
      <c r="G983" s="312">
        <v>0.15</v>
      </c>
      <c r="H983" s="312" t="s">
        <v>40</v>
      </c>
      <c r="I983" s="312">
        <v>0.1</v>
      </c>
      <c r="J983" s="313">
        <v>0.06</v>
      </c>
    </row>
    <row r="984" spans="1:10" ht="17.25" thickBot="1" x14ac:dyDescent="0.35">
      <c r="A984" s="314" t="s">
        <v>1229</v>
      </c>
      <c r="B984" s="315">
        <f t="shared" si="45"/>
        <v>0</v>
      </c>
      <c r="C984" s="315" t="str">
        <f t="shared" si="46"/>
        <v>Santander</v>
      </c>
      <c r="D984" s="315" t="str">
        <f t="shared" si="47"/>
        <v>Lebrija, Santander</v>
      </c>
      <c r="E984" s="311">
        <v>68406</v>
      </c>
      <c r="F984" s="312">
        <v>0.25</v>
      </c>
      <c r="G984" s="312">
        <v>0.2</v>
      </c>
      <c r="H984" s="312" t="s">
        <v>322</v>
      </c>
      <c r="I984" s="312">
        <v>0.13</v>
      </c>
      <c r="J984" s="313">
        <v>0.09</v>
      </c>
    </row>
    <row r="985" spans="1:10" ht="17.25" thickBot="1" x14ac:dyDescent="0.35">
      <c r="A985" s="314" t="s">
        <v>1230</v>
      </c>
      <c r="B985" s="315">
        <f t="shared" si="45"/>
        <v>0</v>
      </c>
      <c r="C985" s="315" t="str">
        <f t="shared" si="46"/>
        <v>Santander</v>
      </c>
      <c r="D985" s="315" t="str">
        <f t="shared" si="47"/>
        <v>Los Santos, Santander</v>
      </c>
      <c r="E985" s="311">
        <v>68418</v>
      </c>
      <c r="F985" s="312">
        <v>0.2</v>
      </c>
      <c r="G985" s="312">
        <v>0.25</v>
      </c>
      <c r="H985" s="312" t="s">
        <v>322</v>
      </c>
      <c r="I985" s="312">
        <v>0.11</v>
      </c>
      <c r="J985" s="313">
        <v>0.08</v>
      </c>
    </row>
    <row r="986" spans="1:10" ht="17.25" thickBot="1" x14ac:dyDescent="0.35">
      <c r="A986" s="314" t="s">
        <v>1231</v>
      </c>
      <c r="B986" s="315">
        <f t="shared" si="45"/>
        <v>0</v>
      </c>
      <c r="C986" s="315" t="str">
        <f t="shared" si="46"/>
        <v>Santander</v>
      </c>
      <c r="D986" s="315" t="str">
        <f t="shared" si="47"/>
        <v>Macaravita, Santander</v>
      </c>
      <c r="E986" s="311">
        <v>68425</v>
      </c>
      <c r="F986" s="312">
        <v>0.25</v>
      </c>
      <c r="G986" s="312">
        <v>0.25</v>
      </c>
      <c r="H986" s="312" t="s">
        <v>322</v>
      </c>
      <c r="I986" s="312">
        <v>0.12</v>
      </c>
      <c r="J986" s="313">
        <v>0.06</v>
      </c>
    </row>
    <row r="987" spans="1:10" ht="17.25" thickBot="1" x14ac:dyDescent="0.35">
      <c r="A987" s="314" t="s">
        <v>1232</v>
      </c>
      <c r="B987" s="315">
        <f t="shared" si="45"/>
        <v>0</v>
      </c>
      <c r="C987" s="315" t="str">
        <f t="shared" si="46"/>
        <v>Santander</v>
      </c>
      <c r="D987" s="315" t="str">
        <f t="shared" si="47"/>
        <v>Málaga, Santander</v>
      </c>
      <c r="E987" s="311">
        <v>68432</v>
      </c>
      <c r="F987" s="312">
        <v>0.25</v>
      </c>
      <c r="G987" s="312">
        <v>0.25</v>
      </c>
      <c r="H987" s="312" t="s">
        <v>322</v>
      </c>
      <c r="I987" s="312">
        <v>0.09</v>
      </c>
      <c r="J987" s="313">
        <v>0.05</v>
      </c>
    </row>
    <row r="988" spans="1:10" ht="17.25" thickBot="1" x14ac:dyDescent="0.35">
      <c r="A988" s="314" t="s">
        <v>1233</v>
      </c>
      <c r="B988" s="315">
        <f t="shared" si="45"/>
        <v>0</v>
      </c>
      <c r="C988" s="315" t="str">
        <f t="shared" si="46"/>
        <v>Santander</v>
      </c>
      <c r="D988" s="315" t="str">
        <f t="shared" si="47"/>
        <v>Matanza, Santander</v>
      </c>
      <c r="E988" s="311">
        <v>68444</v>
      </c>
      <c r="F988" s="312">
        <v>0.25</v>
      </c>
      <c r="G988" s="312">
        <v>0.25</v>
      </c>
      <c r="H988" s="312" t="s">
        <v>322</v>
      </c>
      <c r="I988" s="312">
        <v>0.1</v>
      </c>
      <c r="J988" s="313">
        <v>0.06</v>
      </c>
    </row>
    <row r="989" spans="1:10" ht="17.25" thickBot="1" x14ac:dyDescent="0.35">
      <c r="A989" s="314" t="s">
        <v>1234</v>
      </c>
      <c r="B989" s="315">
        <f t="shared" si="45"/>
        <v>0</v>
      </c>
      <c r="C989" s="315" t="str">
        <f t="shared" si="46"/>
        <v>Santander</v>
      </c>
      <c r="D989" s="315" t="str">
        <f t="shared" si="47"/>
        <v>Mogotes, Santander</v>
      </c>
      <c r="E989" s="311">
        <v>68464</v>
      </c>
      <c r="F989" s="312">
        <v>0.25</v>
      </c>
      <c r="G989" s="312">
        <v>0.25</v>
      </c>
      <c r="H989" s="312" t="s">
        <v>322</v>
      </c>
      <c r="I989" s="312">
        <v>0.1</v>
      </c>
      <c r="J989" s="313">
        <v>0.06</v>
      </c>
    </row>
    <row r="990" spans="1:10" ht="17.25" thickBot="1" x14ac:dyDescent="0.35">
      <c r="A990" s="314" t="s">
        <v>1235</v>
      </c>
      <c r="B990" s="315">
        <f t="shared" si="45"/>
        <v>0</v>
      </c>
      <c r="C990" s="315" t="str">
        <f t="shared" si="46"/>
        <v>Santander</v>
      </c>
      <c r="D990" s="315" t="str">
        <f t="shared" si="47"/>
        <v>Molagavita, Santander</v>
      </c>
      <c r="E990" s="311">
        <v>68468</v>
      </c>
      <c r="F990" s="312">
        <v>0.25</v>
      </c>
      <c r="G990" s="312">
        <v>0.25</v>
      </c>
      <c r="H990" s="312" t="s">
        <v>322</v>
      </c>
      <c r="I990" s="312">
        <v>0.1</v>
      </c>
      <c r="J990" s="313">
        <v>0.06</v>
      </c>
    </row>
    <row r="991" spans="1:10" ht="17.25" thickBot="1" x14ac:dyDescent="0.35">
      <c r="A991" s="314" t="s">
        <v>1236</v>
      </c>
      <c r="B991" s="315">
        <f t="shared" si="45"/>
        <v>0</v>
      </c>
      <c r="C991" s="315" t="str">
        <f t="shared" si="46"/>
        <v>Santander</v>
      </c>
      <c r="D991" s="315" t="str">
        <f t="shared" si="47"/>
        <v>Ocamonte, Santander</v>
      </c>
      <c r="E991" s="311">
        <v>68498</v>
      </c>
      <c r="F991" s="312">
        <v>0.2</v>
      </c>
      <c r="G991" s="312">
        <v>0.25</v>
      </c>
      <c r="H991" s="312" t="s">
        <v>322</v>
      </c>
      <c r="I991" s="312">
        <v>0.08</v>
      </c>
      <c r="J991" s="313">
        <v>0.05</v>
      </c>
    </row>
    <row r="992" spans="1:10" ht="17.25" thickBot="1" x14ac:dyDescent="0.35">
      <c r="A992" s="314" t="s">
        <v>1237</v>
      </c>
      <c r="B992" s="315">
        <f t="shared" si="45"/>
        <v>0</v>
      </c>
      <c r="C992" s="315" t="str">
        <f t="shared" si="46"/>
        <v>Santander</v>
      </c>
      <c r="D992" s="315" t="str">
        <f t="shared" si="47"/>
        <v>Oiba, Santander</v>
      </c>
      <c r="E992" s="311">
        <v>68500</v>
      </c>
      <c r="F992" s="312">
        <v>0.2</v>
      </c>
      <c r="G992" s="312">
        <v>0.2</v>
      </c>
      <c r="H992" s="312" t="s">
        <v>40</v>
      </c>
      <c r="I992" s="312">
        <v>0.09</v>
      </c>
      <c r="J992" s="313">
        <v>0.06</v>
      </c>
    </row>
    <row r="993" spans="1:10" ht="17.25" thickBot="1" x14ac:dyDescent="0.35">
      <c r="A993" s="314" t="s">
        <v>1238</v>
      </c>
      <c r="B993" s="315">
        <f t="shared" si="45"/>
        <v>0</v>
      </c>
      <c r="C993" s="315" t="str">
        <f t="shared" si="46"/>
        <v>Santander</v>
      </c>
      <c r="D993" s="315" t="str">
        <f t="shared" si="47"/>
        <v>Onzága, Santander</v>
      </c>
      <c r="E993" s="311">
        <v>68502</v>
      </c>
      <c r="F993" s="312">
        <v>0.25</v>
      </c>
      <c r="G993" s="312">
        <v>0.25</v>
      </c>
      <c r="H993" s="312" t="s">
        <v>322</v>
      </c>
      <c r="I993" s="312">
        <v>0.13</v>
      </c>
      <c r="J993" s="313">
        <v>7.0000000000000007E-2</v>
      </c>
    </row>
    <row r="994" spans="1:10" ht="17.25" thickBot="1" x14ac:dyDescent="0.35">
      <c r="A994" s="314" t="s">
        <v>1239</v>
      </c>
      <c r="B994" s="315">
        <f t="shared" si="45"/>
        <v>0</v>
      </c>
      <c r="C994" s="315" t="str">
        <f t="shared" si="46"/>
        <v>Santander</v>
      </c>
      <c r="D994" s="315" t="str">
        <f t="shared" si="47"/>
        <v>Palmar, Santander</v>
      </c>
      <c r="E994" s="311">
        <v>68522</v>
      </c>
      <c r="F994" s="312">
        <v>0.15</v>
      </c>
      <c r="G994" s="312">
        <v>0.2</v>
      </c>
      <c r="H994" s="312" t="s">
        <v>40</v>
      </c>
      <c r="I994" s="312">
        <v>0.15</v>
      </c>
      <c r="J994" s="313">
        <v>0.09</v>
      </c>
    </row>
    <row r="995" spans="1:10" ht="17.25" thickBot="1" x14ac:dyDescent="0.35">
      <c r="A995" s="314" t="s">
        <v>1240</v>
      </c>
      <c r="B995" s="315">
        <f t="shared" si="45"/>
        <v>0</v>
      </c>
      <c r="C995" s="315" t="str">
        <f t="shared" si="46"/>
        <v>Santander</v>
      </c>
      <c r="D995" s="315" t="str">
        <f t="shared" si="47"/>
        <v>Palmas del Socorro, Santander</v>
      </c>
      <c r="E995" s="311">
        <v>68524</v>
      </c>
      <c r="F995" s="312">
        <v>0.15</v>
      </c>
      <c r="G995" s="312">
        <v>0.2</v>
      </c>
      <c r="H995" s="312" t="s">
        <v>40</v>
      </c>
      <c r="I995" s="312">
        <v>0.11</v>
      </c>
      <c r="J995" s="313">
        <v>0.08</v>
      </c>
    </row>
    <row r="996" spans="1:10" ht="17.25" thickBot="1" x14ac:dyDescent="0.35">
      <c r="A996" s="314" t="s">
        <v>1241</v>
      </c>
      <c r="B996" s="315">
        <f t="shared" si="45"/>
        <v>0</v>
      </c>
      <c r="C996" s="315" t="str">
        <f t="shared" si="46"/>
        <v>Santander</v>
      </c>
      <c r="D996" s="315" t="str">
        <f t="shared" si="47"/>
        <v>Páramo, Santander</v>
      </c>
      <c r="E996" s="311">
        <v>68533</v>
      </c>
      <c r="F996" s="312">
        <v>0.2</v>
      </c>
      <c r="G996" s="312">
        <v>0.25</v>
      </c>
      <c r="H996" s="312" t="s">
        <v>322</v>
      </c>
      <c r="I996" s="312">
        <v>0.09</v>
      </c>
      <c r="J996" s="313">
        <v>0.06</v>
      </c>
    </row>
    <row r="997" spans="1:10" ht="17.25" thickBot="1" x14ac:dyDescent="0.35">
      <c r="A997" s="314" t="s">
        <v>1242</v>
      </c>
      <c r="B997" s="315">
        <f t="shared" si="45"/>
        <v>0</v>
      </c>
      <c r="C997" s="315" t="str">
        <f t="shared" si="46"/>
        <v>Santander</v>
      </c>
      <c r="D997" s="315" t="str">
        <f t="shared" si="47"/>
        <v>Piedecuesta, Santander</v>
      </c>
      <c r="E997" s="311">
        <v>68547</v>
      </c>
      <c r="F997" s="312">
        <v>0.25</v>
      </c>
      <c r="G997" s="312">
        <v>0.25</v>
      </c>
      <c r="H997" s="312" t="s">
        <v>322</v>
      </c>
      <c r="I997" s="312">
        <v>0.11</v>
      </c>
      <c r="J997" s="313">
        <v>7.0000000000000007E-2</v>
      </c>
    </row>
    <row r="998" spans="1:10" ht="17.25" thickBot="1" x14ac:dyDescent="0.35">
      <c r="A998" s="314" t="s">
        <v>1243</v>
      </c>
      <c r="B998" s="315">
        <f t="shared" si="45"/>
        <v>0</v>
      </c>
      <c r="C998" s="315" t="str">
        <f t="shared" si="46"/>
        <v>Santander</v>
      </c>
      <c r="D998" s="315" t="str">
        <f t="shared" si="47"/>
        <v>Pinchote, Santander</v>
      </c>
      <c r="E998" s="311">
        <v>68549</v>
      </c>
      <c r="F998" s="312">
        <v>0.2</v>
      </c>
      <c r="G998" s="312">
        <v>0.25</v>
      </c>
      <c r="H998" s="312" t="s">
        <v>322</v>
      </c>
      <c r="I998" s="312">
        <v>0.09</v>
      </c>
      <c r="J998" s="313">
        <v>0.06</v>
      </c>
    </row>
    <row r="999" spans="1:10" ht="17.25" thickBot="1" x14ac:dyDescent="0.35">
      <c r="A999" s="314" t="s">
        <v>1244</v>
      </c>
      <c r="B999" s="315">
        <f t="shared" si="45"/>
        <v>0</v>
      </c>
      <c r="C999" s="315" t="str">
        <f t="shared" si="46"/>
        <v>Santander</v>
      </c>
      <c r="D999" s="315" t="str">
        <f t="shared" si="47"/>
        <v>Puente Nacional, Santander</v>
      </c>
      <c r="E999" s="311">
        <v>68572</v>
      </c>
      <c r="F999" s="312">
        <v>0.15</v>
      </c>
      <c r="G999" s="312">
        <v>0.2</v>
      </c>
      <c r="H999" s="312" t="s">
        <v>40</v>
      </c>
      <c r="I999" s="312">
        <v>0.08</v>
      </c>
      <c r="J999" s="313">
        <v>0.05</v>
      </c>
    </row>
    <row r="1000" spans="1:10" ht="17.25" thickBot="1" x14ac:dyDescent="0.35">
      <c r="A1000" s="314" t="s">
        <v>1245</v>
      </c>
      <c r="B1000" s="315">
        <f t="shared" si="45"/>
        <v>0</v>
      </c>
      <c r="C1000" s="315" t="str">
        <f t="shared" si="46"/>
        <v>Santander</v>
      </c>
      <c r="D1000" s="315" t="str">
        <f t="shared" si="47"/>
        <v>Puerto Parra, Santander</v>
      </c>
      <c r="E1000" s="311">
        <v>68573</v>
      </c>
      <c r="F1000" s="312">
        <v>0.15</v>
      </c>
      <c r="G1000" s="312">
        <v>0.15</v>
      </c>
      <c r="H1000" s="312" t="s">
        <v>40</v>
      </c>
      <c r="I1000" s="312">
        <v>0.05</v>
      </c>
      <c r="J1000" s="313">
        <v>0.04</v>
      </c>
    </row>
    <row r="1001" spans="1:10" ht="17.25" thickBot="1" x14ac:dyDescent="0.35">
      <c r="A1001" s="314" t="s">
        <v>1246</v>
      </c>
      <c r="B1001" s="315">
        <f t="shared" si="45"/>
        <v>0</v>
      </c>
      <c r="C1001" s="315" t="str">
        <f t="shared" si="46"/>
        <v>Santander</v>
      </c>
      <c r="D1001" s="315" t="str">
        <f t="shared" si="47"/>
        <v>Puerto Wilches, Santander</v>
      </c>
      <c r="E1001" s="311">
        <v>68575</v>
      </c>
      <c r="F1001" s="312">
        <v>0.15</v>
      </c>
      <c r="G1001" s="312">
        <v>0.15</v>
      </c>
      <c r="H1001" s="312" t="s">
        <v>40</v>
      </c>
      <c r="I1001" s="312">
        <v>0.04</v>
      </c>
      <c r="J1001" s="313">
        <v>0.03</v>
      </c>
    </row>
    <row r="1002" spans="1:10" ht="17.25" thickBot="1" x14ac:dyDescent="0.35">
      <c r="A1002" s="314" t="s">
        <v>419</v>
      </c>
      <c r="B1002" s="315">
        <f t="shared" si="45"/>
        <v>0</v>
      </c>
      <c r="C1002" s="315" t="str">
        <f t="shared" si="46"/>
        <v>Santander</v>
      </c>
      <c r="D1002" s="315" t="str">
        <f t="shared" si="47"/>
        <v>Rionegro, Santander</v>
      </c>
      <c r="E1002" s="311">
        <v>68615</v>
      </c>
      <c r="F1002" s="312">
        <v>0.2</v>
      </c>
      <c r="G1002" s="312">
        <v>0.2</v>
      </c>
      <c r="H1002" s="312" t="s">
        <v>40</v>
      </c>
      <c r="I1002" s="312">
        <v>7.0000000000000007E-2</v>
      </c>
      <c r="J1002" s="313">
        <v>0.04</v>
      </c>
    </row>
    <row r="1003" spans="1:10" ht="17.25" thickBot="1" x14ac:dyDescent="0.35">
      <c r="A1003" s="314" t="s">
        <v>1247</v>
      </c>
      <c r="B1003" s="315">
        <f t="shared" si="45"/>
        <v>0</v>
      </c>
      <c r="C1003" s="315" t="str">
        <f t="shared" si="46"/>
        <v>Santander</v>
      </c>
      <c r="D1003" s="315" t="str">
        <f t="shared" si="47"/>
        <v>Sabana De Torres, Santander</v>
      </c>
      <c r="E1003" s="311">
        <v>68655</v>
      </c>
      <c r="F1003" s="312">
        <v>0.2</v>
      </c>
      <c r="G1003" s="312">
        <v>0.15</v>
      </c>
      <c r="H1003" s="312" t="s">
        <v>40</v>
      </c>
      <c r="I1003" s="312">
        <v>0.06</v>
      </c>
      <c r="J1003" s="313">
        <v>0.04</v>
      </c>
    </row>
    <row r="1004" spans="1:10" ht="17.25" thickBot="1" x14ac:dyDescent="0.35">
      <c r="A1004" s="314" t="s">
        <v>423</v>
      </c>
      <c r="B1004" s="315">
        <f t="shared" si="45"/>
        <v>0</v>
      </c>
      <c r="C1004" s="315" t="str">
        <f t="shared" si="46"/>
        <v>Santander</v>
      </c>
      <c r="D1004" s="315" t="str">
        <f t="shared" si="47"/>
        <v>San Andrés, Santander</v>
      </c>
      <c r="E1004" s="311">
        <v>68669</v>
      </c>
      <c r="F1004" s="312">
        <v>0.25</v>
      </c>
      <c r="G1004" s="312">
        <v>0.25</v>
      </c>
      <c r="H1004" s="312" t="s">
        <v>322</v>
      </c>
      <c r="I1004" s="312">
        <v>0.09</v>
      </c>
      <c r="J1004" s="313">
        <v>0.05</v>
      </c>
    </row>
    <row r="1005" spans="1:10" ht="17.25" thickBot="1" x14ac:dyDescent="0.35">
      <c r="A1005" s="314" t="s">
        <v>1248</v>
      </c>
      <c r="B1005" s="315">
        <f t="shared" si="45"/>
        <v>0</v>
      </c>
      <c r="C1005" s="315" t="str">
        <f t="shared" si="46"/>
        <v>Santander</v>
      </c>
      <c r="D1005" s="315" t="str">
        <f t="shared" si="47"/>
        <v>San Benito, Santander</v>
      </c>
      <c r="E1005" s="311">
        <v>68673</v>
      </c>
      <c r="F1005" s="312">
        <v>0.15</v>
      </c>
      <c r="G1005" s="312">
        <v>0.2</v>
      </c>
      <c r="H1005" s="312" t="s">
        <v>40</v>
      </c>
      <c r="I1005" s="312">
        <v>0.12</v>
      </c>
      <c r="J1005" s="313">
        <v>7.0000000000000007E-2</v>
      </c>
    </row>
    <row r="1006" spans="1:10" ht="17.25" thickBot="1" x14ac:dyDescent="0.35">
      <c r="A1006" s="314" t="s">
        <v>1249</v>
      </c>
      <c r="B1006" s="315">
        <f t="shared" si="45"/>
        <v>0</v>
      </c>
      <c r="C1006" s="315" t="str">
        <f t="shared" si="46"/>
        <v>Santander</v>
      </c>
      <c r="D1006" s="315" t="str">
        <f t="shared" si="47"/>
        <v>San Gil, Santander</v>
      </c>
      <c r="E1006" s="311">
        <v>68679</v>
      </c>
      <c r="F1006" s="312">
        <v>0.2</v>
      </c>
      <c r="G1006" s="312">
        <v>0.25</v>
      </c>
      <c r="H1006" s="312" t="s">
        <v>322</v>
      </c>
      <c r="I1006" s="312">
        <v>0.09</v>
      </c>
      <c r="J1006" s="313">
        <v>0.06</v>
      </c>
    </row>
    <row r="1007" spans="1:10" ht="17.25" thickBot="1" x14ac:dyDescent="0.35">
      <c r="A1007" s="314" t="s">
        <v>1250</v>
      </c>
      <c r="B1007" s="315">
        <f t="shared" si="45"/>
        <v>0</v>
      </c>
      <c r="C1007" s="315" t="str">
        <f t="shared" si="46"/>
        <v>Santander</v>
      </c>
      <c r="D1007" s="315" t="str">
        <f t="shared" si="47"/>
        <v>San Joaquín, Santander</v>
      </c>
      <c r="E1007" s="311">
        <v>68682</v>
      </c>
      <c r="F1007" s="312">
        <v>0.25</v>
      </c>
      <c r="G1007" s="312">
        <v>0.25</v>
      </c>
      <c r="H1007" s="312" t="s">
        <v>322</v>
      </c>
      <c r="I1007" s="312">
        <v>0.13</v>
      </c>
      <c r="J1007" s="313">
        <v>7.0000000000000007E-2</v>
      </c>
    </row>
    <row r="1008" spans="1:10" ht="17.25" thickBot="1" x14ac:dyDescent="0.35">
      <c r="A1008" s="314" t="s">
        <v>1251</v>
      </c>
      <c r="B1008" s="315">
        <f t="shared" si="45"/>
        <v>0</v>
      </c>
      <c r="C1008" s="315" t="str">
        <f t="shared" si="46"/>
        <v>Santander</v>
      </c>
      <c r="D1008" s="315" t="str">
        <f t="shared" si="47"/>
        <v>San José De Miranda, Santander</v>
      </c>
      <c r="E1008" s="311">
        <v>68684</v>
      </c>
      <c r="F1008" s="312">
        <v>0.25</v>
      </c>
      <c r="G1008" s="312">
        <v>0.25</v>
      </c>
      <c r="H1008" s="312" t="s">
        <v>322</v>
      </c>
      <c r="I1008" s="312">
        <v>0.1</v>
      </c>
      <c r="J1008" s="313">
        <v>0.05</v>
      </c>
    </row>
    <row r="1009" spans="1:10" ht="17.25" thickBot="1" x14ac:dyDescent="0.35">
      <c r="A1009" s="314" t="s">
        <v>1163</v>
      </c>
      <c r="B1009" s="315">
        <f t="shared" si="45"/>
        <v>0</v>
      </c>
      <c r="C1009" s="315" t="str">
        <f t="shared" si="46"/>
        <v>Santander</v>
      </c>
      <c r="D1009" s="315" t="str">
        <f t="shared" si="47"/>
        <v>San Miguel, Santander</v>
      </c>
      <c r="E1009" s="311">
        <v>68686</v>
      </c>
      <c r="F1009" s="312">
        <v>0.25</v>
      </c>
      <c r="G1009" s="312">
        <v>0.25</v>
      </c>
      <c r="H1009" s="312" t="s">
        <v>322</v>
      </c>
      <c r="I1009" s="312">
        <v>0.11</v>
      </c>
      <c r="J1009" s="313">
        <v>0.06</v>
      </c>
    </row>
    <row r="1010" spans="1:10" ht="17.25" thickBot="1" x14ac:dyDescent="0.35">
      <c r="A1010" s="314" t="s">
        <v>1252</v>
      </c>
      <c r="B1010" s="315">
        <f t="shared" si="45"/>
        <v>0</v>
      </c>
      <c r="C1010" s="315" t="str">
        <f t="shared" si="46"/>
        <v>Santander</v>
      </c>
      <c r="D1010" s="315" t="str">
        <f t="shared" si="47"/>
        <v>San Vicente De Chucurí, Santander</v>
      </c>
      <c r="E1010" s="311">
        <v>68689</v>
      </c>
      <c r="F1010" s="312">
        <v>0.15</v>
      </c>
      <c r="G1010" s="312">
        <v>0.15</v>
      </c>
      <c r="H1010" s="312" t="s">
        <v>40</v>
      </c>
      <c r="I1010" s="312">
        <v>0.16</v>
      </c>
      <c r="J1010" s="313">
        <v>0.08</v>
      </c>
    </row>
    <row r="1011" spans="1:10" ht="17.25" thickBot="1" x14ac:dyDescent="0.35">
      <c r="A1011" s="314" t="s">
        <v>435</v>
      </c>
      <c r="B1011" s="315">
        <f t="shared" si="45"/>
        <v>0</v>
      </c>
      <c r="C1011" s="315" t="str">
        <f t="shared" si="46"/>
        <v>Santander</v>
      </c>
      <c r="D1011" s="315" t="str">
        <f t="shared" si="47"/>
        <v>Santa Bárbara, Santander</v>
      </c>
      <c r="E1011" s="311">
        <v>68705</v>
      </c>
      <c r="F1011" s="312">
        <v>0.25</v>
      </c>
      <c r="G1011" s="312">
        <v>0.25</v>
      </c>
      <c r="H1011" s="312" t="s">
        <v>322</v>
      </c>
      <c r="I1011" s="312">
        <v>0.09</v>
      </c>
      <c r="J1011" s="313">
        <v>0.05</v>
      </c>
    </row>
    <row r="1012" spans="1:10" ht="17.25" thickBot="1" x14ac:dyDescent="0.35">
      <c r="A1012" s="314" t="s">
        <v>1253</v>
      </c>
      <c r="B1012" s="315">
        <f t="shared" si="45"/>
        <v>0</v>
      </c>
      <c r="C1012" s="315" t="str">
        <f t="shared" si="46"/>
        <v>Santander</v>
      </c>
      <c r="D1012" s="315" t="str">
        <f t="shared" si="47"/>
        <v>Santa Helena del Opón, Santander</v>
      </c>
      <c r="E1012" s="311">
        <v>68720</v>
      </c>
      <c r="F1012" s="312">
        <v>0.15</v>
      </c>
      <c r="G1012" s="312">
        <v>0.15</v>
      </c>
      <c r="H1012" s="312" t="s">
        <v>40</v>
      </c>
      <c r="I1012" s="312">
        <v>0.18</v>
      </c>
      <c r="J1012" s="313">
        <v>0.1</v>
      </c>
    </row>
    <row r="1013" spans="1:10" ht="17.25" thickBot="1" x14ac:dyDescent="0.35">
      <c r="A1013" s="314" t="s">
        <v>1254</v>
      </c>
      <c r="B1013" s="315">
        <f t="shared" si="45"/>
        <v>0</v>
      </c>
      <c r="C1013" s="315" t="str">
        <f t="shared" si="46"/>
        <v>Santander</v>
      </c>
      <c r="D1013" s="315" t="str">
        <f t="shared" si="47"/>
        <v>Simacota, Santander</v>
      </c>
      <c r="E1013" s="311">
        <v>68745</v>
      </c>
      <c r="F1013" s="312">
        <v>0.15</v>
      </c>
      <c r="G1013" s="312">
        <v>0.15</v>
      </c>
      <c r="H1013" s="312" t="s">
        <v>40</v>
      </c>
      <c r="I1013" s="312">
        <v>0.09</v>
      </c>
      <c r="J1013" s="313">
        <v>0.06</v>
      </c>
    </row>
    <row r="1014" spans="1:10" ht="17.25" thickBot="1" x14ac:dyDescent="0.35">
      <c r="A1014" s="314" t="s">
        <v>1255</v>
      </c>
      <c r="B1014" s="315">
        <f t="shared" si="45"/>
        <v>0</v>
      </c>
      <c r="C1014" s="315" t="str">
        <f t="shared" si="46"/>
        <v>Santander</v>
      </c>
      <c r="D1014" s="315" t="str">
        <f t="shared" si="47"/>
        <v>Socorro, Santander</v>
      </c>
      <c r="E1014" s="311">
        <v>68755</v>
      </c>
      <c r="F1014" s="312">
        <v>0.2</v>
      </c>
      <c r="G1014" s="312">
        <v>0.2</v>
      </c>
      <c r="H1014" s="312" t="s">
        <v>40</v>
      </c>
      <c r="I1014" s="312">
        <v>0.11</v>
      </c>
      <c r="J1014" s="313">
        <v>7.0000000000000007E-2</v>
      </c>
    </row>
    <row r="1015" spans="1:10" ht="17.25" thickBot="1" x14ac:dyDescent="0.35">
      <c r="A1015" s="314" t="s">
        <v>1256</v>
      </c>
      <c r="B1015" s="315">
        <f t="shared" si="45"/>
        <v>0</v>
      </c>
      <c r="C1015" s="315" t="str">
        <f t="shared" si="46"/>
        <v>Santander</v>
      </c>
      <c r="D1015" s="315" t="str">
        <f t="shared" si="47"/>
        <v>Suaita, Santander</v>
      </c>
      <c r="E1015" s="311">
        <v>68770</v>
      </c>
      <c r="F1015" s="312">
        <v>0.15</v>
      </c>
      <c r="G1015" s="312">
        <v>0.2</v>
      </c>
      <c r="H1015" s="312" t="s">
        <v>40</v>
      </c>
      <c r="I1015" s="312">
        <v>0.09</v>
      </c>
      <c r="J1015" s="313">
        <v>0.06</v>
      </c>
    </row>
    <row r="1016" spans="1:10" ht="17.25" thickBot="1" x14ac:dyDescent="0.35">
      <c r="A1016" s="314" t="s">
        <v>336</v>
      </c>
      <c r="B1016" s="315">
        <f t="shared" si="45"/>
        <v>0</v>
      </c>
      <c r="C1016" s="315" t="str">
        <f t="shared" si="46"/>
        <v>Santander</v>
      </c>
      <c r="D1016" s="315" t="str">
        <f t="shared" si="47"/>
        <v>Sucre, Santander</v>
      </c>
      <c r="E1016" s="311">
        <v>68773</v>
      </c>
      <c r="F1016" s="312">
        <v>0.15</v>
      </c>
      <c r="G1016" s="312">
        <v>0.15</v>
      </c>
      <c r="H1016" s="312" t="s">
        <v>40</v>
      </c>
      <c r="I1016" s="312">
        <v>0.15</v>
      </c>
      <c r="J1016" s="313">
        <v>7.0000000000000007E-2</v>
      </c>
    </row>
    <row r="1017" spans="1:10" ht="17.25" thickBot="1" x14ac:dyDescent="0.35">
      <c r="A1017" s="314" t="s">
        <v>1257</v>
      </c>
      <c r="B1017" s="315">
        <f t="shared" si="45"/>
        <v>0</v>
      </c>
      <c r="C1017" s="315" t="str">
        <f t="shared" si="46"/>
        <v>Santander</v>
      </c>
      <c r="D1017" s="315" t="str">
        <f t="shared" si="47"/>
        <v>Suratá, Santander</v>
      </c>
      <c r="E1017" s="311">
        <v>68780</v>
      </c>
      <c r="F1017" s="312">
        <v>0.25</v>
      </c>
      <c r="G1017" s="312">
        <v>0.25</v>
      </c>
      <c r="H1017" s="312" t="s">
        <v>322</v>
      </c>
      <c r="I1017" s="312">
        <v>0.09</v>
      </c>
      <c r="J1017" s="313">
        <v>0.05</v>
      </c>
    </row>
    <row r="1018" spans="1:10" ht="17.25" thickBot="1" x14ac:dyDescent="0.35">
      <c r="A1018" s="314" t="s">
        <v>1258</v>
      </c>
      <c r="B1018" s="315">
        <f t="shared" si="45"/>
        <v>0</v>
      </c>
      <c r="C1018" s="315" t="str">
        <f t="shared" si="46"/>
        <v>Santander</v>
      </c>
      <c r="D1018" s="315" t="str">
        <f t="shared" si="47"/>
        <v>Tona, Santander</v>
      </c>
      <c r="E1018" s="311">
        <v>68820</v>
      </c>
      <c r="F1018" s="312">
        <v>0.25</v>
      </c>
      <c r="G1018" s="312">
        <v>0.25</v>
      </c>
      <c r="H1018" s="312" t="s">
        <v>322</v>
      </c>
      <c r="I1018" s="312">
        <v>0.09</v>
      </c>
      <c r="J1018" s="313">
        <v>0.05</v>
      </c>
    </row>
    <row r="1019" spans="1:10" ht="17.25" thickBot="1" x14ac:dyDescent="0.35">
      <c r="A1019" s="314" t="s">
        <v>1259</v>
      </c>
      <c r="B1019" s="315">
        <f t="shared" si="45"/>
        <v>0</v>
      </c>
      <c r="C1019" s="315" t="str">
        <f t="shared" si="46"/>
        <v>Santander</v>
      </c>
      <c r="D1019" s="315" t="str">
        <f t="shared" si="47"/>
        <v>Valle San José, Santander</v>
      </c>
      <c r="E1019" s="311">
        <v>68855</v>
      </c>
      <c r="F1019" s="312">
        <v>0.2</v>
      </c>
      <c r="G1019" s="312">
        <v>0.25</v>
      </c>
      <c r="H1019" s="312" t="s">
        <v>322</v>
      </c>
      <c r="I1019" s="312">
        <v>0.08</v>
      </c>
      <c r="J1019" s="313">
        <v>0.06</v>
      </c>
    </row>
    <row r="1020" spans="1:10" ht="17.25" thickBot="1" x14ac:dyDescent="0.35">
      <c r="A1020" s="314" t="s">
        <v>1260</v>
      </c>
      <c r="B1020" s="315">
        <f t="shared" si="45"/>
        <v>0</v>
      </c>
      <c r="C1020" s="315" t="str">
        <f t="shared" si="46"/>
        <v>Santander</v>
      </c>
      <c r="D1020" s="315" t="str">
        <f t="shared" si="47"/>
        <v>Vélez, Santander</v>
      </c>
      <c r="E1020" s="311">
        <v>68861</v>
      </c>
      <c r="F1020" s="312">
        <v>0.15</v>
      </c>
      <c r="G1020" s="312">
        <v>0.15</v>
      </c>
      <c r="H1020" s="312" t="s">
        <v>40</v>
      </c>
      <c r="I1020" s="312">
        <v>0.15</v>
      </c>
      <c r="J1020" s="313">
        <v>0.08</v>
      </c>
    </row>
    <row r="1021" spans="1:10" ht="17.25" thickBot="1" x14ac:dyDescent="0.35">
      <c r="A1021" s="314" t="s">
        <v>1261</v>
      </c>
      <c r="B1021" s="315">
        <f t="shared" si="45"/>
        <v>0</v>
      </c>
      <c r="C1021" s="315" t="str">
        <f t="shared" si="46"/>
        <v>Santander</v>
      </c>
      <c r="D1021" s="315" t="str">
        <f t="shared" si="47"/>
        <v>Vetas, Santander</v>
      </c>
      <c r="E1021" s="311">
        <v>68867</v>
      </c>
      <c r="F1021" s="312">
        <v>0.25</v>
      </c>
      <c r="G1021" s="312">
        <v>0.25</v>
      </c>
      <c r="H1021" s="312" t="s">
        <v>322</v>
      </c>
      <c r="I1021" s="312">
        <v>0.09</v>
      </c>
      <c r="J1021" s="313">
        <v>0.05</v>
      </c>
    </row>
    <row r="1022" spans="1:10" ht="17.25" thickBot="1" x14ac:dyDescent="0.35">
      <c r="A1022" s="314" t="s">
        <v>536</v>
      </c>
      <c r="B1022" s="315">
        <f t="shared" si="45"/>
        <v>0</v>
      </c>
      <c r="C1022" s="315" t="str">
        <f t="shared" si="46"/>
        <v>Santander</v>
      </c>
      <c r="D1022" s="315" t="str">
        <f t="shared" si="47"/>
        <v>Villanueva, Santander</v>
      </c>
      <c r="E1022" s="311">
        <v>68872</v>
      </c>
      <c r="F1022" s="312">
        <v>0.2</v>
      </c>
      <c r="G1022" s="312">
        <v>0.25</v>
      </c>
      <c r="H1022" s="312" t="s">
        <v>322</v>
      </c>
      <c r="I1022" s="312">
        <v>0.11</v>
      </c>
      <c r="J1022" s="313">
        <v>7.0000000000000007E-2</v>
      </c>
    </row>
    <row r="1023" spans="1:10" ht="17.25" thickBot="1" x14ac:dyDescent="0.35">
      <c r="A1023" s="314" t="s">
        <v>1262</v>
      </c>
      <c r="B1023" s="315">
        <f t="shared" si="45"/>
        <v>0</v>
      </c>
      <c r="C1023" s="315" t="str">
        <f t="shared" si="46"/>
        <v>Santander</v>
      </c>
      <c r="D1023" s="315" t="str">
        <f t="shared" si="47"/>
        <v>Zapatoca, Santander</v>
      </c>
      <c r="E1023" s="311">
        <v>68895</v>
      </c>
      <c r="F1023" s="312">
        <v>0.2</v>
      </c>
      <c r="G1023" s="312">
        <v>0.2</v>
      </c>
      <c r="H1023" s="312" t="s">
        <v>40</v>
      </c>
      <c r="I1023" s="312">
        <v>0.2</v>
      </c>
      <c r="J1023" s="313">
        <v>0.1</v>
      </c>
    </row>
    <row r="1024" spans="1:10" ht="17.25" thickBot="1" x14ac:dyDescent="0.35">
      <c r="A1024" s="299" t="s">
        <v>1263</v>
      </c>
      <c r="B1024" s="300">
        <f t="shared" si="45"/>
        <v>1</v>
      </c>
      <c r="C1024" s="300" t="str">
        <f t="shared" si="46"/>
        <v>Sucre</v>
      </c>
      <c r="D1024" s="300" t="str">
        <f t="shared" si="47"/>
        <v/>
      </c>
      <c r="E1024" s="301"/>
      <c r="F1024" s="302"/>
      <c r="G1024" s="302"/>
      <c r="H1024" s="302"/>
      <c r="I1024" s="302"/>
      <c r="J1024" s="303"/>
    </row>
    <row r="1025" spans="1:10" ht="17.25" thickBot="1" x14ac:dyDescent="0.35">
      <c r="A1025" s="309" t="s">
        <v>1264</v>
      </c>
      <c r="B1025" s="310">
        <f t="shared" si="45"/>
        <v>0</v>
      </c>
      <c r="C1025" s="310" t="str">
        <f t="shared" si="46"/>
        <v>Sucre</v>
      </c>
      <c r="D1025" s="310" t="str">
        <f t="shared" si="47"/>
        <v>Sincelejo, Sucre</v>
      </c>
      <c r="E1025" s="311">
        <v>70001</v>
      </c>
      <c r="F1025" s="312">
        <v>0.1</v>
      </c>
      <c r="G1025" s="312">
        <v>0.15</v>
      </c>
      <c r="H1025" s="312" t="s">
        <v>40</v>
      </c>
      <c r="I1025" s="312">
        <v>7.0000000000000007E-2</v>
      </c>
      <c r="J1025" s="313">
        <v>0.04</v>
      </c>
    </row>
    <row r="1026" spans="1:10" ht="17.25" thickBot="1" x14ac:dyDescent="0.35">
      <c r="A1026" s="314" t="s">
        <v>547</v>
      </c>
      <c r="B1026" s="315">
        <f t="shared" si="45"/>
        <v>0</v>
      </c>
      <c r="C1026" s="315" t="str">
        <f t="shared" si="46"/>
        <v>Sucre</v>
      </c>
      <c r="D1026" s="315" t="str">
        <f t="shared" si="47"/>
        <v>Buenavista, Sucre</v>
      </c>
      <c r="E1026" s="311">
        <v>70110</v>
      </c>
      <c r="F1026" s="312">
        <v>0.1</v>
      </c>
      <c r="G1026" s="312">
        <v>0.15</v>
      </c>
      <c r="H1026" s="312" t="s">
        <v>40</v>
      </c>
      <c r="I1026" s="312">
        <v>0.04</v>
      </c>
      <c r="J1026" s="313">
        <v>0.03</v>
      </c>
    </row>
    <row r="1027" spans="1:10" ht="17.25" thickBot="1" x14ac:dyDescent="0.35">
      <c r="A1027" s="314" t="s">
        <v>1265</v>
      </c>
      <c r="B1027" s="315">
        <f t="shared" ref="B1027:B1090" si="48">IFERROR(FIND("Departamento",A1027),0)</f>
        <v>0</v>
      </c>
      <c r="C1027" s="315" t="str">
        <f t="shared" ref="C1027:C1090" si="49">IF(B1027=1,IF(ISERROR(FIND("del",A1027)),MID(A1027,17,30),MID(A1027,18,30)),C1026)</f>
        <v>Sucre</v>
      </c>
      <c r="D1027" s="315" t="str">
        <f t="shared" ref="D1027:D1090" si="50">IF(B1027=1,"",CONCATENATE(A1027,", ",C1027))</f>
        <v>Caimito, Sucre</v>
      </c>
      <c r="E1027" s="311">
        <v>70124</v>
      </c>
      <c r="F1027" s="312">
        <v>0.15</v>
      </c>
      <c r="G1027" s="312">
        <v>0.15</v>
      </c>
      <c r="H1027" s="312" t="s">
        <v>40</v>
      </c>
      <c r="I1027" s="312">
        <v>0.04</v>
      </c>
      <c r="J1027" s="313">
        <v>0.03</v>
      </c>
    </row>
    <row r="1028" spans="1:10" ht="17.25" thickBot="1" x14ac:dyDescent="0.35">
      <c r="A1028" s="314" t="s">
        <v>1266</v>
      </c>
      <c r="B1028" s="315">
        <f t="shared" si="48"/>
        <v>0</v>
      </c>
      <c r="C1028" s="315" t="str">
        <f t="shared" si="49"/>
        <v>Sucre</v>
      </c>
      <c r="D1028" s="315" t="str">
        <f t="shared" si="50"/>
        <v>Chalán, Sucre</v>
      </c>
      <c r="E1028" s="311">
        <v>70230</v>
      </c>
      <c r="F1028" s="312">
        <v>0.1</v>
      </c>
      <c r="G1028" s="312">
        <v>0.15</v>
      </c>
      <c r="H1028" s="312" t="s">
        <v>40</v>
      </c>
      <c r="I1028" s="312">
        <v>0.08</v>
      </c>
      <c r="J1028" s="313">
        <v>0.04</v>
      </c>
    </row>
    <row r="1029" spans="1:10" ht="17.25" thickBot="1" x14ac:dyDescent="0.35">
      <c r="A1029" s="314" t="s">
        <v>1267</v>
      </c>
      <c r="B1029" s="315">
        <f t="shared" si="48"/>
        <v>0</v>
      </c>
      <c r="C1029" s="315" t="str">
        <f t="shared" si="49"/>
        <v>Sucre</v>
      </c>
      <c r="D1029" s="315" t="str">
        <f t="shared" si="50"/>
        <v>Coloso, Sucre</v>
      </c>
      <c r="E1029" s="311">
        <v>70204</v>
      </c>
      <c r="F1029" s="312">
        <v>0.1</v>
      </c>
      <c r="G1029" s="312">
        <v>0.15</v>
      </c>
      <c r="H1029" s="312" t="s">
        <v>40</v>
      </c>
      <c r="I1029" s="312">
        <v>7.0000000000000007E-2</v>
      </c>
      <c r="J1029" s="313">
        <v>0.04</v>
      </c>
    </row>
    <row r="1030" spans="1:10" ht="17.25" thickBot="1" x14ac:dyDescent="0.35">
      <c r="A1030" s="314" t="s">
        <v>1268</v>
      </c>
      <c r="B1030" s="315">
        <f t="shared" si="48"/>
        <v>0</v>
      </c>
      <c r="C1030" s="315" t="str">
        <f t="shared" si="49"/>
        <v>Sucre</v>
      </c>
      <c r="D1030" s="315" t="str">
        <f t="shared" si="50"/>
        <v>Corozal, Sucre</v>
      </c>
      <c r="E1030" s="311">
        <v>70215</v>
      </c>
      <c r="F1030" s="312">
        <v>0.1</v>
      </c>
      <c r="G1030" s="312">
        <v>0.15</v>
      </c>
      <c r="H1030" s="312" t="s">
        <v>40</v>
      </c>
      <c r="I1030" s="312">
        <v>0.05</v>
      </c>
      <c r="J1030" s="313">
        <v>0.04</v>
      </c>
    </row>
    <row r="1031" spans="1:10" ht="17.25" thickBot="1" x14ac:dyDescent="0.35">
      <c r="A1031" s="314" t="s">
        <v>1269</v>
      </c>
      <c r="B1031" s="315">
        <f t="shared" si="48"/>
        <v>0</v>
      </c>
      <c r="C1031" s="315" t="str">
        <f t="shared" si="49"/>
        <v>Sucre</v>
      </c>
      <c r="D1031" s="315" t="str">
        <f t="shared" si="50"/>
        <v>El Roble, Sucre</v>
      </c>
      <c r="E1031" s="311">
        <v>70233</v>
      </c>
      <c r="F1031" s="312">
        <v>0.1</v>
      </c>
      <c r="G1031" s="312">
        <v>0.15</v>
      </c>
      <c r="H1031" s="312" t="s">
        <v>40</v>
      </c>
      <c r="I1031" s="312">
        <v>0.04</v>
      </c>
      <c r="J1031" s="313">
        <v>0.03</v>
      </c>
    </row>
    <row r="1032" spans="1:10" ht="17.25" thickBot="1" x14ac:dyDescent="0.35">
      <c r="A1032" s="314" t="s">
        <v>1270</v>
      </c>
      <c r="B1032" s="315">
        <f t="shared" si="48"/>
        <v>0</v>
      </c>
      <c r="C1032" s="315" t="str">
        <f t="shared" si="49"/>
        <v>Sucre</v>
      </c>
      <c r="D1032" s="315" t="str">
        <f t="shared" si="50"/>
        <v>Galeras, Sucre</v>
      </c>
      <c r="E1032" s="311">
        <v>70235</v>
      </c>
      <c r="F1032" s="312">
        <v>0.1</v>
      </c>
      <c r="G1032" s="312">
        <v>0.15</v>
      </c>
      <c r="H1032" s="312" t="s">
        <v>40</v>
      </c>
      <c r="I1032" s="312">
        <v>0.04</v>
      </c>
      <c r="J1032" s="313">
        <v>0.03</v>
      </c>
    </row>
    <row r="1033" spans="1:10" ht="17.25" thickBot="1" x14ac:dyDescent="0.35">
      <c r="A1033" s="314" t="s">
        <v>1271</v>
      </c>
      <c r="B1033" s="315">
        <f t="shared" si="48"/>
        <v>0</v>
      </c>
      <c r="C1033" s="315" t="str">
        <f t="shared" si="49"/>
        <v>Sucre</v>
      </c>
      <c r="D1033" s="315" t="str">
        <f t="shared" si="50"/>
        <v>Guarandá, Sucre</v>
      </c>
      <c r="E1033" s="311">
        <v>70265</v>
      </c>
      <c r="F1033" s="312">
        <v>0.15</v>
      </c>
      <c r="G1033" s="312">
        <v>0.15</v>
      </c>
      <c r="H1033" s="312" t="s">
        <v>40</v>
      </c>
      <c r="I1033" s="312">
        <v>0.06</v>
      </c>
      <c r="J1033" s="313">
        <v>0.05</v>
      </c>
    </row>
    <row r="1034" spans="1:10" ht="17.25" thickBot="1" x14ac:dyDescent="0.35">
      <c r="A1034" s="314" t="s">
        <v>401</v>
      </c>
      <c r="B1034" s="315">
        <f t="shared" si="48"/>
        <v>0</v>
      </c>
      <c r="C1034" s="315" t="str">
        <f t="shared" si="49"/>
        <v>Sucre</v>
      </c>
      <c r="D1034" s="315" t="str">
        <f t="shared" si="50"/>
        <v>La Unión, Sucre</v>
      </c>
      <c r="E1034" s="311">
        <v>70400</v>
      </c>
      <c r="F1034" s="312">
        <v>0.15</v>
      </c>
      <c r="G1034" s="312">
        <v>0.15</v>
      </c>
      <c r="H1034" s="312" t="s">
        <v>40</v>
      </c>
      <c r="I1034" s="312">
        <v>0.05</v>
      </c>
      <c r="J1034" s="313">
        <v>0.04</v>
      </c>
    </row>
    <row r="1035" spans="1:10" ht="17.25" thickBot="1" x14ac:dyDescent="0.35">
      <c r="A1035" s="314" t="s">
        <v>1272</v>
      </c>
      <c r="B1035" s="315">
        <f t="shared" si="48"/>
        <v>0</v>
      </c>
      <c r="C1035" s="315" t="str">
        <f t="shared" si="49"/>
        <v>Sucre</v>
      </c>
      <c r="D1035" s="315" t="str">
        <f t="shared" si="50"/>
        <v>Los Palmitos, Sucre</v>
      </c>
      <c r="E1035" s="311">
        <v>70418</v>
      </c>
      <c r="F1035" s="312">
        <v>0.1</v>
      </c>
      <c r="G1035" s="312">
        <v>0.15</v>
      </c>
      <c r="H1035" s="312" t="s">
        <v>40</v>
      </c>
      <c r="I1035" s="312">
        <v>0.05</v>
      </c>
      <c r="J1035" s="313">
        <v>0.04</v>
      </c>
    </row>
    <row r="1036" spans="1:10" ht="17.25" thickBot="1" x14ac:dyDescent="0.35">
      <c r="A1036" s="314" t="s">
        <v>1273</v>
      </c>
      <c r="B1036" s="315">
        <f t="shared" si="48"/>
        <v>0</v>
      </c>
      <c r="C1036" s="315" t="str">
        <f t="shared" si="49"/>
        <v>Sucre</v>
      </c>
      <c r="D1036" s="315" t="str">
        <f t="shared" si="50"/>
        <v>Majagual, Sucre</v>
      </c>
      <c r="E1036" s="311">
        <v>70429</v>
      </c>
      <c r="F1036" s="312">
        <v>0.15</v>
      </c>
      <c r="G1036" s="312">
        <v>0.15</v>
      </c>
      <c r="H1036" s="312" t="s">
        <v>40</v>
      </c>
      <c r="I1036" s="312">
        <v>0.04</v>
      </c>
      <c r="J1036" s="313">
        <v>0.04</v>
      </c>
    </row>
    <row r="1037" spans="1:10" ht="17.25" thickBot="1" x14ac:dyDescent="0.35">
      <c r="A1037" s="314" t="s">
        <v>1274</v>
      </c>
      <c r="B1037" s="315">
        <f t="shared" si="48"/>
        <v>0</v>
      </c>
      <c r="C1037" s="315" t="str">
        <f t="shared" si="49"/>
        <v>Sucre</v>
      </c>
      <c r="D1037" s="315" t="str">
        <f t="shared" si="50"/>
        <v>Morroa, Sucre</v>
      </c>
      <c r="E1037" s="311">
        <v>70473</v>
      </c>
      <c r="F1037" s="312">
        <v>0.1</v>
      </c>
      <c r="G1037" s="312">
        <v>0.15</v>
      </c>
      <c r="H1037" s="312" t="s">
        <v>40</v>
      </c>
      <c r="I1037" s="312">
        <v>7.0000000000000007E-2</v>
      </c>
      <c r="J1037" s="313">
        <v>0.04</v>
      </c>
    </row>
    <row r="1038" spans="1:10" ht="17.25" thickBot="1" x14ac:dyDescent="0.35">
      <c r="A1038" s="314" t="s">
        <v>1275</v>
      </c>
      <c r="B1038" s="315">
        <f t="shared" si="48"/>
        <v>0</v>
      </c>
      <c r="C1038" s="315" t="str">
        <f t="shared" si="49"/>
        <v>Sucre</v>
      </c>
      <c r="D1038" s="315" t="str">
        <f t="shared" si="50"/>
        <v>Ovejas, Sucre</v>
      </c>
      <c r="E1038" s="311">
        <v>70508</v>
      </c>
      <c r="F1038" s="312">
        <v>0.1</v>
      </c>
      <c r="G1038" s="312">
        <v>0.15</v>
      </c>
      <c r="H1038" s="312" t="s">
        <v>40</v>
      </c>
      <c r="I1038" s="312">
        <v>0.06</v>
      </c>
      <c r="J1038" s="313">
        <v>0.04</v>
      </c>
    </row>
    <row r="1039" spans="1:10" ht="17.25" thickBot="1" x14ac:dyDescent="0.35">
      <c r="A1039" s="314" t="s">
        <v>1276</v>
      </c>
      <c r="B1039" s="315">
        <f t="shared" si="48"/>
        <v>0</v>
      </c>
      <c r="C1039" s="315" t="str">
        <f t="shared" si="49"/>
        <v>Sucre</v>
      </c>
      <c r="D1039" s="315" t="str">
        <f t="shared" si="50"/>
        <v>Palmito, Sucre</v>
      </c>
      <c r="E1039" s="311">
        <v>70523</v>
      </c>
      <c r="F1039" s="312">
        <v>0.1</v>
      </c>
      <c r="G1039" s="312">
        <v>0.15</v>
      </c>
      <c r="H1039" s="312" t="s">
        <v>40</v>
      </c>
      <c r="I1039" s="312">
        <v>0.05</v>
      </c>
      <c r="J1039" s="313">
        <v>0.04</v>
      </c>
    </row>
    <row r="1040" spans="1:10" ht="17.25" thickBot="1" x14ac:dyDescent="0.35">
      <c r="A1040" s="314" t="s">
        <v>1277</v>
      </c>
      <c r="B1040" s="315">
        <f t="shared" si="48"/>
        <v>0</v>
      </c>
      <c r="C1040" s="315" t="str">
        <f t="shared" si="49"/>
        <v>Sucre</v>
      </c>
      <c r="D1040" s="315" t="str">
        <f t="shared" si="50"/>
        <v>Sampués, Sucre</v>
      </c>
      <c r="E1040" s="311">
        <v>70670</v>
      </c>
      <c r="F1040" s="312">
        <v>0.1</v>
      </c>
      <c r="G1040" s="312">
        <v>0.15</v>
      </c>
      <c r="H1040" s="312" t="s">
        <v>40</v>
      </c>
      <c r="I1040" s="312">
        <v>0.06</v>
      </c>
      <c r="J1040" s="313">
        <v>0.04</v>
      </c>
    </row>
    <row r="1041" spans="1:10" ht="17.25" thickBot="1" x14ac:dyDescent="0.35">
      <c r="A1041" s="314" t="s">
        <v>1278</v>
      </c>
      <c r="B1041" s="315">
        <f t="shared" si="48"/>
        <v>0</v>
      </c>
      <c r="C1041" s="315" t="str">
        <f t="shared" si="49"/>
        <v>Sucre</v>
      </c>
      <c r="D1041" s="315" t="str">
        <f t="shared" si="50"/>
        <v>San Benito Abad, Sucre</v>
      </c>
      <c r="E1041" s="311">
        <v>70678</v>
      </c>
      <c r="F1041" s="312">
        <v>0.1</v>
      </c>
      <c r="G1041" s="312">
        <v>0.15</v>
      </c>
      <c r="H1041" s="312" t="s">
        <v>40</v>
      </c>
      <c r="I1041" s="312">
        <v>0.04</v>
      </c>
      <c r="J1041" s="313">
        <v>0.03</v>
      </c>
    </row>
    <row r="1042" spans="1:10" ht="17.25" thickBot="1" x14ac:dyDescent="0.35">
      <c r="A1042" s="314" t="s">
        <v>1279</v>
      </c>
      <c r="B1042" s="315">
        <f t="shared" si="48"/>
        <v>0</v>
      </c>
      <c r="C1042" s="315" t="str">
        <f t="shared" si="49"/>
        <v>Sucre</v>
      </c>
      <c r="D1042" s="315" t="str">
        <f t="shared" si="50"/>
        <v>San Juan Betulia, Sucre</v>
      </c>
      <c r="E1042" s="311">
        <v>70702</v>
      </c>
      <c r="F1042" s="312">
        <v>0.1</v>
      </c>
      <c r="G1042" s="312">
        <v>0.15</v>
      </c>
      <c r="H1042" s="312" t="s">
        <v>40</v>
      </c>
      <c r="I1042" s="312">
        <v>0.05</v>
      </c>
      <c r="J1042" s="313">
        <v>0.03</v>
      </c>
    </row>
    <row r="1043" spans="1:10" ht="17.25" thickBot="1" x14ac:dyDescent="0.35">
      <c r="A1043" s="314" t="s">
        <v>1280</v>
      </c>
      <c r="B1043" s="315">
        <f t="shared" si="48"/>
        <v>0</v>
      </c>
      <c r="C1043" s="315" t="str">
        <f t="shared" si="49"/>
        <v>Sucre</v>
      </c>
      <c r="D1043" s="315" t="str">
        <f t="shared" si="50"/>
        <v>San Marcos, Sucre</v>
      </c>
      <c r="E1043" s="311">
        <v>70708</v>
      </c>
      <c r="F1043" s="312">
        <v>0.15</v>
      </c>
      <c r="G1043" s="312">
        <v>0.15</v>
      </c>
      <c r="H1043" s="312" t="s">
        <v>40</v>
      </c>
      <c r="I1043" s="312">
        <v>0.04</v>
      </c>
      <c r="J1043" s="313">
        <v>0.04</v>
      </c>
    </row>
    <row r="1044" spans="1:10" ht="17.25" thickBot="1" x14ac:dyDescent="0.35">
      <c r="A1044" s="314" t="s">
        <v>1281</v>
      </c>
      <c r="B1044" s="315">
        <f t="shared" si="48"/>
        <v>0</v>
      </c>
      <c r="C1044" s="315" t="str">
        <f t="shared" si="49"/>
        <v>Sucre</v>
      </c>
      <c r="D1044" s="315" t="str">
        <f t="shared" si="50"/>
        <v>San Onofre, Sucre</v>
      </c>
      <c r="E1044" s="311">
        <v>70713</v>
      </c>
      <c r="F1044" s="312">
        <v>0.1</v>
      </c>
      <c r="G1044" s="312">
        <v>0.15</v>
      </c>
      <c r="H1044" s="312" t="s">
        <v>40</v>
      </c>
      <c r="I1044" s="312">
        <v>0.04</v>
      </c>
      <c r="J1044" s="313">
        <v>0.03</v>
      </c>
    </row>
    <row r="1045" spans="1:10" ht="17.25" thickBot="1" x14ac:dyDescent="0.35">
      <c r="A1045" s="314" t="s">
        <v>430</v>
      </c>
      <c r="B1045" s="315">
        <f t="shared" si="48"/>
        <v>0</v>
      </c>
      <c r="C1045" s="315" t="str">
        <f t="shared" si="49"/>
        <v>Sucre</v>
      </c>
      <c r="D1045" s="315" t="str">
        <f t="shared" si="50"/>
        <v>San Pedro, Sucre</v>
      </c>
      <c r="E1045" s="311">
        <v>70717</v>
      </c>
      <c r="F1045" s="312">
        <v>0.1</v>
      </c>
      <c r="G1045" s="312">
        <v>0.15</v>
      </c>
      <c r="H1045" s="312" t="s">
        <v>40</v>
      </c>
      <c r="I1045" s="312">
        <v>0.04</v>
      </c>
      <c r="J1045" s="313">
        <v>0.03</v>
      </c>
    </row>
    <row r="1046" spans="1:10" ht="17.25" thickBot="1" x14ac:dyDescent="0.35">
      <c r="A1046" s="314" t="s">
        <v>1282</v>
      </c>
      <c r="B1046" s="315">
        <f t="shared" si="48"/>
        <v>0</v>
      </c>
      <c r="C1046" s="315" t="str">
        <f t="shared" si="49"/>
        <v>Sucre</v>
      </c>
      <c r="D1046" s="315" t="str">
        <f t="shared" si="50"/>
        <v>Sincé, Sucre</v>
      </c>
      <c r="E1046" s="311">
        <v>70742</v>
      </c>
      <c r="F1046" s="312">
        <v>0.1</v>
      </c>
      <c r="G1046" s="312">
        <v>0.15</v>
      </c>
      <c r="H1046" s="312" t="s">
        <v>40</v>
      </c>
      <c r="I1046" s="312">
        <v>0.04</v>
      </c>
      <c r="J1046" s="313">
        <v>0.03</v>
      </c>
    </row>
    <row r="1047" spans="1:10" ht="17.25" thickBot="1" x14ac:dyDescent="0.35">
      <c r="A1047" s="314" t="s">
        <v>336</v>
      </c>
      <c r="B1047" s="315">
        <f t="shared" si="48"/>
        <v>0</v>
      </c>
      <c r="C1047" s="315" t="str">
        <f t="shared" si="49"/>
        <v>Sucre</v>
      </c>
      <c r="D1047" s="315" t="str">
        <f t="shared" si="50"/>
        <v>Sucre, Sucre</v>
      </c>
      <c r="E1047" s="311">
        <v>70771</v>
      </c>
      <c r="F1047" s="312">
        <v>0.1</v>
      </c>
      <c r="G1047" s="312">
        <v>0.15</v>
      </c>
      <c r="H1047" s="312" t="s">
        <v>40</v>
      </c>
      <c r="I1047" s="312">
        <v>0.04</v>
      </c>
      <c r="J1047" s="313">
        <v>0.03</v>
      </c>
    </row>
    <row r="1048" spans="1:10" ht="17.25" thickBot="1" x14ac:dyDescent="0.35">
      <c r="A1048" s="314" t="s">
        <v>1283</v>
      </c>
      <c r="B1048" s="315">
        <f t="shared" si="48"/>
        <v>0</v>
      </c>
      <c r="C1048" s="315" t="str">
        <f t="shared" si="49"/>
        <v>Sucre</v>
      </c>
      <c r="D1048" s="315" t="str">
        <f t="shared" si="50"/>
        <v>Tolú, Sucre</v>
      </c>
      <c r="E1048" s="311">
        <v>70820</v>
      </c>
      <c r="F1048" s="312">
        <v>0.1</v>
      </c>
      <c r="G1048" s="312">
        <v>0.15</v>
      </c>
      <c r="H1048" s="312" t="s">
        <v>40</v>
      </c>
      <c r="I1048" s="312">
        <v>0.04</v>
      </c>
      <c r="J1048" s="313">
        <v>0.03</v>
      </c>
    </row>
    <row r="1049" spans="1:10" ht="17.25" thickBot="1" x14ac:dyDescent="0.35">
      <c r="A1049" s="314" t="s">
        <v>1284</v>
      </c>
      <c r="B1049" s="315">
        <f t="shared" si="48"/>
        <v>0</v>
      </c>
      <c r="C1049" s="315" t="str">
        <f t="shared" si="49"/>
        <v>Sucre</v>
      </c>
      <c r="D1049" s="315" t="str">
        <f t="shared" si="50"/>
        <v>Toluviejo, Sucre</v>
      </c>
      <c r="E1049" s="311">
        <v>70823</v>
      </c>
      <c r="F1049" s="312">
        <v>0.1</v>
      </c>
      <c r="G1049" s="312">
        <v>0.15</v>
      </c>
      <c r="H1049" s="312" t="s">
        <v>40</v>
      </c>
      <c r="I1049" s="312">
        <v>0.06</v>
      </c>
      <c r="J1049" s="313">
        <v>0.04</v>
      </c>
    </row>
    <row r="1050" spans="1:10" ht="17.25" thickBot="1" x14ac:dyDescent="0.35">
      <c r="A1050" s="299" t="s">
        <v>1285</v>
      </c>
      <c r="B1050" s="300">
        <f t="shared" si="48"/>
        <v>1</v>
      </c>
      <c r="C1050" s="300" t="str">
        <f t="shared" si="49"/>
        <v>Tolima</v>
      </c>
      <c r="D1050" s="300" t="str">
        <f t="shared" si="50"/>
        <v/>
      </c>
      <c r="E1050" s="301"/>
      <c r="F1050" s="302"/>
      <c r="G1050" s="302"/>
      <c r="H1050" s="302"/>
      <c r="I1050" s="302"/>
      <c r="J1050" s="303"/>
    </row>
    <row r="1051" spans="1:10" ht="17.25" thickBot="1" x14ac:dyDescent="0.35">
      <c r="A1051" s="309" t="s">
        <v>1286</v>
      </c>
      <c r="B1051" s="310">
        <f t="shared" si="48"/>
        <v>0</v>
      </c>
      <c r="C1051" s="310" t="str">
        <f t="shared" si="49"/>
        <v>Tolima</v>
      </c>
      <c r="D1051" s="310" t="str">
        <f t="shared" si="50"/>
        <v>Ibagué, Tolima</v>
      </c>
      <c r="E1051" s="311">
        <v>73001</v>
      </c>
      <c r="F1051" s="312">
        <v>0.2</v>
      </c>
      <c r="G1051" s="312">
        <v>0.2</v>
      </c>
      <c r="H1051" s="312" t="s">
        <v>40</v>
      </c>
      <c r="I1051" s="312">
        <v>0.15</v>
      </c>
      <c r="J1051" s="313">
        <v>0.08</v>
      </c>
    </row>
    <row r="1052" spans="1:10" ht="17.25" thickBot="1" x14ac:dyDescent="0.35">
      <c r="A1052" s="314" t="s">
        <v>1287</v>
      </c>
      <c r="B1052" s="315">
        <f t="shared" si="48"/>
        <v>0</v>
      </c>
      <c r="C1052" s="315" t="str">
        <f t="shared" si="49"/>
        <v>Tolima</v>
      </c>
      <c r="D1052" s="315" t="str">
        <f t="shared" si="50"/>
        <v>Alpujarra, Tolima</v>
      </c>
      <c r="E1052" s="311">
        <v>73024</v>
      </c>
      <c r="F1052" s="312">
        <v>0.25</v>
      </c>
      <c r="G1052" s="312">
        <v>0.25</v>
      </c>
      <c r="H1052" s="312" t="s">
        <v>322</v>
      </c>
      <c r="I1052" s="312">
        <v>0.14000000000000001</v>
      </c>
      <c r="J1052" s="313">
        <v>7.0000000000000007E-2</v>
      </c>
    </row>
    <row r="1053" spans="1:10" ht="17.25" thickBot="1" x14ac:dyDescent="0.35">
      <c r="A1053" s="314" t="s">
        <v>1288</v>
      </c>
      <c r="B1053" s="315">
        <f t="shared" si="48"/>
        <v>0</v>
      </c>
      <c r="C1053" s="315" t="str">
        <f t="shared" si="49"/>
        <v>Tolima</v>
      </c>
      <c r="D1053" s="315" t="str">
        <f t="shared" si="50"/>
        <v>Alvarado, Tolima</v>
      </c>
      <c r="E1053" s="311">
        <v>73026</v>
      </c>
      <c r="F1053" s="312">
        <v>0.2</v>
      </c>
      <c r="G1053" s="312">
        <v>0.2</v>
      </c>
      <c r="H1053" s="312" t="s">
        <v>40</v>
      </c>
      <c r="I1053" s="312">
        <v>0.13</v>
      </c>
      <c r="J1053" s="313">
        <v>7.0000000000000007E-2</v>
      </c>
    </row>
    <row r="1054" spans="1:10" ht="17.25" thickBot="1" x14ac:dyDescent="0.35">
      <c r="A1054" s="314" t="s">
        <v>1289</v>
      </c>
      <c r="B1054" s="315">
        <f t="shared" si="48"/>
        <v>0</v>
      </c>
      <c r="C1054" s="315" t="str">
        <f t="shared" si="49"/>
        <v>Tolima</v>
      </c>
      <c r="D1054" s="315" t="str">
        <f t="shared" si="50"/>
        <v>Ambalema, Tolima</v>
      </c>
      <c r="E1054" s="311">
        <v>73030</v>
      </c>
      <c r="F1054" s="312">
        <v>0.2</v>
      </c>
      <c r="G1054" s="312">
        <v>0.2</v>
      </c>
      <c r="H1054" s="312" t="s">
        <v>40</v>
      </c>
      <c r="I1054" s="312">
        <v>0.1</v>
      </c>
      <c r="J1054" s="313">
        <v>0.06</v>
      </c>
    </row>
    <row r="1055" spans="1:10" ht="17.25" thickBot="1" x14ac:dyDescent="0.35">
      <c r="A1055" s="314" t="s">
        <v>1290</v>
      </c>
      <c r="B1055" s="315">
        <f t="shared" si="48"/>
        <v>0</v>
      </c>
      <c r="C1055" s="315" t="str">
        <f t="shared" si="49"/>
        <v>Tolima</v>
      </c>
      <c r="D1055" s="315" t="str">
        <f t="shared" si="50"/>
        <v>Anzoátegui, Tolima</v>
      </c>
      <c r="E1055" s="311">
        <v>73043</v>
      </c>
      <c r="F1055" s="312">
        <v>0.2</v>
      </c>
      <c r="G1055" s="312">
        <v>0.2</v>
      </c>
      <c r="H1055" s="312" t="s">
        <v>40</v>
      </c>
      <c r="I1055" s="312">
        <v>0.13</v>
      </c>
      <c r="J1055" s="313">
        <v>0.08</v>
      </c>
    </row>
    <row r="1056" spans="1:10" ht="17.25" thickBot="1" x14ac:dyDescent="0.35">
      <c r="A1056" s="314" t="s">
        <v>1291</v>
      </c>
      <c r="B1056" s="315">
        <f t="shared" si="48"/>
        <v>0</v>
      </c>
      <c r="C1056" s="315" t="str">
        <f t="shared" si="49"/>
        <v>Tolima</v>
      </c>
      <c r="D1056" s="315" t="str">
        <f t="shared" si="50"/>
        <v>Armero, Tolima</v>
      </c>
      <c r="E1056" s="311">
        <v>73055</v>
      </c>
      <c r="F1056" s="312">
        <v>0.2</v>
      </c>
      <c r="G1056" s="312">
        <v>0.2</v>
      </c>
      <c r="H1056" s="312" t="s">
        <v>40</v>
      </c>
      <c r="I1056" s="312">
        <v>0.1</v>
      </c>
      <c r="J1056" s="313">
        <v>0.06</v>
      </c>
    </row>
    <row r="1057" spans="1:10" ht="17.25" thickBot="1" x14ac:dyDescent="0.35">
      <c r="A1057" s="314" t="s">
        <v>1292</v>
      </c>
      <c r="B1057" s="315">
        <f t="shared" si="48"/>
        <v>0</v>
      </c>
      <c r="C1057" s="315" t="str">
        <f t="shared" si="49"/>
        <v>Tolima</v>
      </c>
      <c r="D1057" s="315" t="str">
        <f t="shared" si="50"/>
        <v>Ataco, Tolima</v>
      </c>
      <c r="E1057" s="311">
        <v>73067</v>
      </c>
      <c r="F1057" s="312">
        <v>0.25</v>
      </c>
      <c r="G1057" s="312">
        <v>0.2</v>
      </c>
      <c r="H1057" s="312" t="s">
        <v>322</v>
      </c>
      <c r="I1057" s="312">
        <v>7.0000000000000007E-2</v>
      </c>
      <c r="J1057" s="313">
        <v>0.04</v>
      </c>
    </row>
    <row r="1058" spans="1:10" ht="17.25" thickBot="1" x14ac:dyDescent="0.35">
      <c r="A1058" s="314" t="s">
        <v>1293</v>
      </c>
      <c r="B1058" s="315">
        <f t="shared" si="48"/>
        <v>0</v>
      </c>
      <c r="C1058" s="315" t="str">
        <f t="shared" si="49"/>
        <v>Tolima</v>
      </c>
      <c r="D1058" s="315" t="str">
        <f t="shared" si="50"/>
        <v>Cajamarca, Tolima</v>
      </c>
      <c r="E1058" s="311">
        <v>73124</v>
      </c>
      <c r="F1058" s="312">
        <v>0.2</v>
      </c>
      <c r="G1058" s="312">
        <v>0.2</v>
      </c>
      <c r="H1058" s="312" t="s">
        <v>40</v>
      </c>
      <c r="I1058" s="312">
        <v>0.14000000000000001</v>
      </c>
      <c r="J1058" s="313">
        <v>0.08</v>
      </c>
    </row>
    <row r="1059" spans="1:10" ht="17.25" thickBot="1" x14ac:dyDescent="0.35">
      <c r="A1059" s="314" t="s">
        <v>1294</v>
      </c>
      <c r="B1059" s="315">
        <f t="shared" si="48"/>
        <v>0</v>
      </c>
      <c r="C1059" s="315" t="str">
        <f t="shared" si="49"/>
        <v>Tolima</v>
      </c>
      <c r="D1059" s="315" t="str">
        <f t="shared" si="50"/>
        <v>Carmen Apicalá, Tolima</v>
      </c>
      <c r="E1059" s="311">
        <v>73148</v>
      </c>
      <c r="F1059" s="312">
        <v>0.25</v>
      </c>
      <c r="G1059" s="312">
        <v>0.2</v>
      </c>
      <c r="H1059" s="312" t="s">
        <v>322</v>
      </c>
      <c r="I1059" s="312">
        <v>0.11</v>
      </c>
      <c r="J1059" s="313">
        <v>0.05</v>
      </c>
    </row>
    <row r="1060" spans="1:10" ht="17.25" thickBot="1" x14ac:dyDescent="0.35">
      <c r="A1060" s="314" t="s">
        <v>1295</v>
      </c>
      <c r="B1060" s="315">
        <f t="shared" si="48"/>
        <v>0</v>
      </c>
      <c r="C1060" s="315" t="str">
        <f t="shared" si="49"/>
        <v>Tolima</v>
      </c>
      <c r="D1060" s="315" t="str">
        <f t="shared" si="50"/>
        <v>Casabianca, Tolima</v>
      </c>
      <c r="E1060" s="311">
        <v>73152</v>
      </c>
      <c r="F1060" s="312">
        <v>0.2</v>
      </c>
      <c r="G1060" s="312">
        <v>0.2</v>
      </c>
      <c r="H1060" s="312" t="s">
        <v>40</v>
      </c>
      <c r="I1060" s="312">
        <v>0.16</v>
      </c>
      <c r="J1060" s="313">
        <v>0.08</v>
      </c>
    </row>
    <row r="1061" spans="1:10" ht="17.25" thickBot="1" x14ac:dyDescent="0.35">
      <c r="A1061" s="314" t="s">
        <v>1296</v>
      </c>
      <c r="B1061" s="315">
        <f t="shared" si="48"/>
        <v>0</v>
      </c>
      <c r="C1061" s="315" t="str">
        <f t="shared" si="49"/>
        <v>Tolima</v>
      </c>
      <c r="D1061" s="315" t="str">
        <f t="shared" si="50"/>
        <v>Chaparral, Tolima</v>
      </c>
      <c r="E1061" s="311">
        <v>73168</v>
      </c>
      <c r="F1061" s="312">
        <v>0.25</v>
      </c>
      <c r="G1061" s="312">
        <v>0.2</v>
      </c>
      <c r="H1061" s="312" t="s">
        <v>322</v>
      </c>
      <c r="I1061" s="312">
        <v>0.08</v>
      </c>
      <c r="J1061" s="313">
        <v>0.05</v>
      </c>
    </row>
    <row r="1062" spans="1:10" ht="17.25" thickBot="1" x14ac:dyDescent="0.35">
      <c r="A1062" s="314" t="s">
        <v>1297</v>
      </c>
      <c r="B1062" s="315">
        <f t="shared" si="48"/>
        <v>0</v>
      </c>
      <c r="C1062" s="315" t="str">
        <f t="shared" si="49"/>
        <v>Tolima</v>
      </c>
      <c r="D1062" s="315" t="str">
        <f t="shared" si="50"/>
        <v>Coello, Tolima</v>
      </c>
      <c r="E1062" s="311">
        <v>73200</v>
      </c>
      <c r="F1062" s="312">
        <v>0.2</v>
      </c>
      <c r="G1062" s="312">
        <v>0.2</v>
      </c>
      <c r="H1062" s="312" t="s">
        <v>40</v>
      </c>
      <c r="I1062" s="312">
        <v>0.11</v>
      </c>
      <c r="J1062" s="313">
        <v>0.06</v>
      </c>
    </row>
    <row r="1063" spans="1:10" ht="17.25" thickBot="1" x14ac:dyDescent="0.35">
      <c r="A1063" s="314" t="s">
        <v>1298</v>
      </c>
      <c r="B1063" s="315">
        <f t="shared" si="48"/>
        <v>0</v>
      </c>
      <c r="C1063" s="315" t="str">
        <f t="shared" si="49"/>
        <v>Tolima</v>
      </c>
      <c r="D1063" s="315" t="str">
        <f t="shared" si="50"/>
        <v>Coyaima, Tolima</v>
      </c>
      <c r="E1063" s="311">
        <v>73217</v>
      </c>
      <c r="F1063" s="312">
        <v>0.25</v>
      </c>
      <c r="G1063" s="312">
        <v>0.2</v>
      </c>
      <c r="H1063" s="312" t="s">
        <v>322</v>
      </c>
      <c r="I1063" s="312">
        <v>0.09</v>
      </c>
      <c r="J1063" s="313">
        <v>0.05</v>
      </c>
    </row>
    <row r="1064" spans="1:10" ht="17.25" thickBot="1" x14ac:dyDescent="0.35">
      <c r="A1064" s="314" t="s">
        <v>1299</v>
      </c>
      <c r="B1064" s="315">
        <f t="shared" si="48"/>
        <v>0</v>
      </c>
      <c r="C1064" s="315" t="str">
        <f t="shared" si="49"/>
        <v>Tolima</v>
      </c>
      <c r="D1064" s="315" t="str">
        <f t="shared" si="50"/>
        <v>Cunday, Tolima</v>
      </c>
      <c r="E1064" s="311">
        <v>73226</v>
      </c>
      <c r="F1064" s="312">
        <v>0.25</v>
      </c>
      <c r="G1064" s="312">
        <v>0.2</v>
      </c>
      <c r="H1064" s="312" t="s">
        <v>322</v>
      </c>
      <c r="I1064" s="312">
        <v>0.09</v>
      </c>
      <c r="J1064" s="313">
        <v>0.05</v>
      </c>
    </row>
    <row r="1065" spans="1:10" ht="17.25" thickBot="1" x14ac:dyDescent="0.35">
      <c r="A1065" s="314" t="s">
        <v>1300</v>
      </c>
      <c r="B1065" s="315">
        <f t="shared" si="48"/>
        <v>0</v>
      </c>
      <c r="C1065" s="315" t="str">
        <f t="shared" si="49"/>
        <v>Tolima</v>
      </c>
      <c r="D1065" s="315" t="str">
        <f t="shared" si="50"/>
        <v>Dolores, Tolima</v>
      </c>
      <c r="E1065" s="311">
        <v>73236</v>
      </c>
      <c r="F1065" s="312">
        <v>0.25</v>
      </c>
      <c r="G1065" s="312">
        <v>0.25</v>
      </c>
      <c r="H1065" s="312" t="s">
        <v>322</v>
      </c>
      <c r="I1065" s="312">
        <v>0.12</v>
      </c>
      <c r="J1065" s="313">
        <v>0.06</v>
      </c>
    </row>
    <row r="1066" spans="1:10" ht="17.25" thickBot="1" x14ac:dyDescent="0.35">
      <c r="A1066" s="314" t="s">
        <v>1301</v>
      </c>
      <c r="B1066" s="315">
        <f t="shared" si="48"/>
        <v>0</v>
      </c>
      <c r="C1066" s="315" t="str">
        <f t="shared" si="49"/>
        <v>Tolima</v>
      </c>
      <c r="D1066" s="315" t="str">
        <f t="shared" si="50"/>
        <v>Espinal, Tolima</v>
      </c>
      <c r="E1066" s="311">
        <v>73268</v>
      </c>
      <c r="F1066" s="312">
        <v>0.25</v>
      </c>
      <c r="G1066" s="312">
        <v>0.2</v>
      </c>
      <c r="H1066" s="312" t="s">
        <v>322</v>
      </c>
      <c r="I1066" s="312">
        <v>0.13</v>
      </c>
      <c r="J1066" s="313">
        <v>0.06</v>
      </c>
    </row>
    <row r="1067" spans="1:10" ht="17.25" thickBot="1" x14ac:dyDescent="0.35">
      <c r="A1067" s="314" t="s">
        <v>1302</v>
      </c>
      <c r="B1067" s="315">
        <f t="shared" si="48"/>
        <v>0</v>
      </c>
      <c r="C1067" s="315" t="str">
        <f t="shared" si="49"/>
        <v>Tolima</v>
      </c>
      <c r="D1067" s="315" t="str">
        <f t="shared" si="50"/>
        <v>Falán, Tolima</v>
      </c>
      <c r="E1067" s="311">
        <v>73270</v>
      </c>
      <c r="F1067" s="312">
        <v>0.2</v>
      </c>
      <c r="G1067" s="312">
        <v>0.2</v>
      </c>
      <c r="H1067" s="312" t="s">
        <v>40</v>
      </c>
      <c r="I1067" s="312">
        <v>0.12</v>
      </c>
      <c r="J1067" s="313">
        <v>7.0000000000000007E-2</v>
      </c>
    </row>
    <row r="1068" spans="1:10" ht="17.25" thickBot="1" x14ac:dyDescent="0.35">
      <c r="A1068" s="314" t="s">
        <v>1303</v>
      </c>
      <c r="B1068" s="315">
        <f t="shared" si="48"/>
        <v>0</v>
      </c>
      <c r="C1068" s="315" t="str">
        <f t="shared" si="49"/>
        <v>Tolima</v>
      </c>
      <c r="D1068" s="315" t="str">
        <f t="shared" si="50"/>
        <v>Flandes, Tolima</v>
      </c>
      <c r="E1068" s="311">
        <v>73275</v>
      </c>
      <c r="F1068" s="312">
        <v>0.2</v>
      </c>
      <c r="G1068" s="312">
        <v>0.2</v>
      </c>
      <c r="H1068" s="312" t="s">
        <v>40</v>
      </c>
      <c r="I1068" s="312">
        <v>0.11</v>
      </c>
      <c r="J1068" s="313">
        <v>0.06</v>
      </c>
    </row>
    <row r="1069" spans="1:10" ht="17.25" thickBot="1" x14ac:dyDescent="0.35">
      <c r="A1069" s="314" t="s">
        <v>1304</v>
      </c>
      <c r="B1069" s="315">
        <f t="shared" si="48"/>
        <v>0</v>
      </c>
      <c r="C1069" s="315" t="str">
        <f t="shared" si="49"/>
        <v>Tolima</v>
      </c>
      <c r="D1069" s="315" t="str">
        <f t="shared" si="50"/>
        <v>Fresno, Tolima</v>
      </c>
      <c r="E1069" s="311">
        <v>73283</v>
      </c>
      <c r="F1069" s="312">
        <v>0.2</v>
      </c>
      <c r="G1069" s="312">
        <v>0.2</v>
      </c>
      <c r="H1069" s="312" t="s">
        <v>40</v>
      </c>
      <c r="I1069" s="312">
        <v>0.14000000000000001</v>
      </c>
      <c r="J1069" s="313">
        <v>0.09</v>
      </c>
    </row>
    <row r="1070" spans="1:10" ht="17.25" thickBot="1" x14ac:dyDescent="0.35">
      <c r="A1070" s="314" t="s">
        <v>1305</v>
      </c>
      <c r="B1070" s="315">
        <f t="shared" si="48"/>
        <v>0</v>
      </c>
      <c r="C1070" s="315" t="str">
        <f t="shared" si="49"/>
        <v>Tolima</v>
      </c>
      <c r="D1070" s="315" t="str">
        <f t="shared" si="50"/>
        <v>Guamo, Tolima</v>
      </c>
      <c r="E1070" s="311">
        <v>73319</v>
      </c>
      <c r="F1070" s="312">
        <v>0.25</v>
      </c>
      <c r="G1070" s="312">
        <v>0.2</v>
      </c>
      <c r="H1070" s="312" t="s">
        <v>322</v>
      </c>
      <c r="I1070" s="312">
        <v>0.11</v>
      </c>
      <c r="J1070" s="313">
        <v>0.06</v>
      </c>
    </row>
    <row r="1071" spans="1:10" ht="17.25" thickBot="1" x14ac:dyDescent="0.35">
      <c r="A1071" s="314" t="s">
        <v>1306</v>
      </c>
      <c r="B1071" s="315">
        <f t="shared" si="48"/>
        <v>0</v>
      </c>
      <c r="C1071" s="315" t="str">
        <f t="shared" si="49"/>
        <v>Tolima</v>
      </c>
      <c r="D1071" s="315" t="str">
        <f t="shared" si="50"/>
        <v>Hervéo, Tolima</v>
      </c>
      <c r="E1071" s="311">
        <v>73347</v>
      </c>
      <c r="F1071" s="312">
        <v>0.2</v>
      </c>
      <c r="G1071" s="312">
        <v>0.2</v>
      </c>
      <c r="H1071" s="312" t="s">
        <v>40</v>
      </c>
      <c r="I1071" s="312">
        <v>0.16</v>
      </c>
      <c r="J1071" s="313">
        <v>0.08</v>
      </c>
    </row>
    <row r="1072" spans="1:10" ht="17.25" thickBot="1" x14ac:dyDescent="0.35">
      <c r="A1072" s="314" t="s">
        <v>1307</v>
      </c>
      <c r="B1072" s="315">
        <f t="shared" si="48"/>
        <v>0</v>
      </c>
      <c r="C1072" s="315" t="str">
        <f t="shared" si="49"/>
        <v>Tolima</v>
      </c>
      <c r="D1072" s="315" t="str">
        <f t="shared" si="50"/>
        <v>Honda, Tolima</v>
      </c>
      <c r="E1072" s="311">
        <v>73349</v>
      </c>
      <c r="F1072" s="312">
        <v>0.2</v>
      </c>
      <c r="G1072" s="312">
        <v>0.2</v>
      </c>
      <c r="H1072" s="312" t="s">
        <v>40</v>
      </c>
      <c r="I1072" s="312">
        <v>0.1</v>
      </c>
      <c r="J1072" s="313">
        <v>0.06</v>
      </c>
    </row>
    <row r="1073" spans="1:10" ht="17.25" thickBot="1" x14ac:dyDescent="0.35">
      <c r="A1073" s="314" t="s">
        <v>1308</v>
      </c>
      <c r="B1073" s="315">
        <f t="shared" si="48"/>
        <v>0</v>
      </c>
      <c r="C1073" s="315" t="str">
        <f t="shared" si="49"/>
        <v>Tolima</v>
      </c>
      <c r="D1073" s="315" t="str">
        <f t="shared" si="50"/>
        <v>Icononzo, Tolima</v>
      </c>
      <c r="E1073" s="311">
        <v>73352</v>
      </c>
      <c r="F1073" s="312">
        <v>0.2</v>
      </c>
      <c r="G1073" s="312">
        <v>0.2</v>
      </c>
      <c r="H1073" s="312" t="s">
        <v>40</v>
      </c>
      <c r="I1073" s="312">
        <v>0.08</v>
      </c>
      <c r="J1073" s="313">
        <v>0.05</v>
      </c>
    </row>
    <row r="1074" spans="1:10" ht="17.25" thickBot="1" x14ac:dyDescent="0.35">
      <c r="A1074" s="314" t="s">
        <v>1309</v>
      </c>
      <c r="B1074" s="315">
        <f t="shared" si="48"/>
        <v>0</v>
      </c>
      <c r="C1074" s="315" t="str">
        <f t="shared" si="49"/>
        <v>Tolima</v>
      </c>
      <c r="D1074" s="315" t="str">
        <f t="shared" si="50"/>
        <v>Lérida, Tolima</v>
      </c>
      <c r="E1074" s="311">
        <v>73408</v>
      </c>
      <c r="F1074" s="312">
        <v>0.2</v>
      </c>
      <c r="G1074" s="312">
        <v>0.2</v>
      </c>
      <c r="H1074" s="312" t="s">
        <v>40</v>
      </c>
      <c r="I1074" s="312">
        <v>0.11</v>
      </c>
      <c r="J1074" s="313">
        <v>0.06</v>
      </c>
    </row>
    <row r="1075" spans="1:10" ht="17.25" thickBot="1" x14ac:dyDescent="0.35">
      <c r="A1075" s="314" t="s">
        <v>1310</v>
      </c>
      <c r="B1075" s="315">
        <f t="shared" si="48"/>
        <v>0</v>
      </c>
      <c r="C1075" s="315" t="str">
        <f t="shared" si="49"/>
        <v>Tolima</v>
      </c>
      <c r="D1075" s="315" t="str">
        <f t="shared" si="50"/>
        <v>Líbano, Tolima</v>
      </c>
      <c r="E1075" s="311">
        <v>73411</v>
      </c>
      <c r="F1075" s="312">
        <v>0.2</v>
      </c>
      <c r="G1075" s="312">
        <v>0.2</v>
      </c>
      <c r="H1075" s="312" t="s">
        <v>40</v>
      </c>
      <c r="I1075" s="312">
        <v>0.12</v>
      </c>
      <c r="J1075" s="313">
        <v>7.0000000000000007E-2</v>
      </c>
    </row>
    <row r="1076" spans="1:10" ht="17.25" thickBot="1" x14ac:dyDescent="0.35">
      <c r="A1076" s="314" t="s">
        <v>1311</v>
      </c>
      <c r="B1076" s="315">
        <f t="shared" si="48"/>
        <v>0</v>
      </c>
      <c r="C1076" s="315" t="str">
        <f t="shared" si="49"/>
        <v>Tolima</v>
      </c>
      <c r="D1076" s="315" t="str">
        <f t="shared" si="50"/>
        <v>Mariquita, Tolima</v>
      </c>
      <c r="E1076" s="311">
        <v>73443</v>
      </c>
      <c r="F1076" s="312">
        <v>0.2</v>
      </c>
      <c r="G1076" s="312">
        <v>0.2</v>
      </c>
      <c r="H1076" s="312" t="s">
        <v>40</v>
      </c>
      <c r="I1076" s="312">
        <v>0.11</v>
      </c>
      <c r="J1076" s="313">
        <v>7.0000000000000007E-2</v>
      </c>
    </row>
    <row r="1077" spans="1:10" ht="17.25" thickBot="1" x14ac:dyDescent="0.35">
      <c r="A1077" s="314" t="s">
        <v>1312</v>
      </c>
      <c r="B1077" s="315">
        <f t="shared" si="48"/>
        <v>0</v>
      </c>
      <c r="C1077" s="315" t="str">
        <f t="shared" si="49"/>
        <v>Tolima</v>
      </c>
      <c r="D1077" s="315" t="str">
        <f t="shared" si="50"/>
        <v>Melgar, Tolima</v>
      </c>
      <c r="E1077" s="311">
        <v>73449</v>
      </c>
      <c r="F1077" s="312">
        <v>0.2</v>
      </c>
      <c r="G1077" s="312">
        <v>0.2</v>
      </c>
      <c r="H1077" s="312" t="s">
        <v>40</v>
      </c>
      <c r="I1077" s="312">
        <v>0.09</v>
      </c>
      <c r="J1077" s="313">
        <v>0.05</v>
      </c>
    </row>
    <row r="1078" spans="1:10" ht="17.25" thickBot="1" x14ac:dyDescent="0.35">
      <c r="A1078" s="314" t="s">
        <v>1313</v>
      </c>
      <c r="B1078" s="315">
        <f t="shared" si="48"/>
        <v>0</v>
      </c>
      <c r="C1078" s="315" t="str">
        <f t="shared" si="49"/>
        <v>Tolima</v>
      </c>
      <c r="D1078" s="315" t="str">
        <f t="shared" si="50"/>
        <v>Murillo, Tolima</v>
      </c>
      <c r="E1078" s="311">
        <v>73461</v>
      </c>
      <c r="F1078" s="312">
        <v>0.2</v>
      </c>
      <c r="G1078" s="312">
        <v>0.2</v>
      </c>
      <c r="H1078" s="312" t="s">
        <v>40</v>
      </c>
      <c r="I1078" s="312">
        <v>0.15</v>
      </c>
      <c r="J1078" s="313">
        <v>0.08</v>
      </c>
    </row>
    <row r="1079" spans="1:10" ht="17.25" thickBot="1" x14ac:dyDescent="0.35">
      <c r="A1079" s="314" t="s">
        <v>1314</v>
      </c>
      <c r="B1079" s="315">
        <f t="shared" si="48"/>
        <v>0</v>
      </c>
      <c r="C1079" s="315" t="str">
        <f t="shared" si="49"/>
        <v>Tolima</v>
      </c>
      <c r="D1079" s="315" t="str">
        <f t="shared" si="50"/>
        <v>Natagaima, Tolima</v>
      </c>
      <c r="E1079" s="311">
        <v>73483</v>
      </c>
      <c r="F1079" s="312">
        <v>0.25</v>
      </c>
      <c r="G1079" s="312">
        <v>0.25</v>
      </c>
      <c r="H1079" s="312" t="s">
        <v>322</v>
      </c>
      <c r="I1079" s="312">
        <v>0.11</v>
      </c>
      <c r="J1079" s="313">
        <v>0.06</v>
      </c>
    </row>
    <row r="1080" spans="1:10" ht="17.25" thickBot="1" x14ac:dyDescent="0.35">
      <c r="A1080" s="314" t="s">
        <v>1315</v>
      </c>
      <c r="B1080" s="315">
        <f t="shared" si="48"/>
        <v>0</v>
      </c>
      <c r="C1080" s="315" t="str">
        <f t="shared" si="49"/>
        <v>Tolima</v>
      </c>
      <c r="D1080" s="315" t="str">
        <f t="shared" si="50"/>
        <v>Ortega, Tolima</v>
      </c>
      <c r="E1080" s="311">
        <v>73504</v>
      </c>
      <c r="F1080" s="312">
        <v>0.25</v>
      </c>
      <c r="G1080" s="312">
        <v>0.2</v>
      </c>
      <c r="H1080" s="312" t="s">
        <v>322</v>
      </c>
      <c r="I1080" s="312">
        <v>0.08</v>
      </c>
      <c r="J1080" s="313">
        <v>0.05</v>
      </c>
    </row>
    <row r="1081" spans="1:10" ht="17.25" thickBot="1" x14ac:dyDescent="0.35">
      <c r="A1081" s="314" t="s">
        <v>1316</v>
      </c>
      <c r="B1081" s="315">
        <f t="shared" si="48"/>
        <v>0</v>
      </c>
      <c r="C1081" s="315" t="str">
        <f t="shared" si="49"/>
        <v>Tolima</v>
      </c>
      <c r="D1081" s="315" t="str">
        <f t="shared" si="50"/>
        <v>Palocabildo, Tolima</v>
      </c>
      <c r="E1081" s="311">
        <v>73520</v>
      </c>
      <c r="F1081" s="312">
        <v>0.2</v>
      </c>
      <c r="G1081" s="312">
        <v>0.2</v>
      </c>
      <c r="H1081" s="312" t="s">
        <v>40</v>
      </c>
      <c r="I1081" s="312">
        <v>0.13</v>
      </c>
      <c r="J1081" s="313">
        <v>0.08</v>
      </c>
    </row>
    <row r="1082" spans="1:10" ht="17.25" thickBot="1" x14ac:dyDescent="0.35">
      <c r="A1082" s="314" t="s">
        <v>1317</v>
      </c>
      <c r="B1082" s="315">
        <f t="shared" si="48"/>
        <v>0</v>
      </c>
      <c r="C1082" s="315" t="str">
        <f t="shared" si="49"/>
        <v>Tolima</v>
      </c>
      <c r="D1082" s="315" t="str">
        <f t="shared" si="50"/>
        <v>Piedras, Tolima</v>
      </c>
      <c r="E1082" s="311">
        <v>73547</v>
      </c>
      <c r="F1082" s="312">
        <v>0.2</v>
      </c>
      <c r="G1082" s="312">
        <v>0.2</v>
      </c>
      <c r="H1082" s="312" t="s">
        <v>40</v>
      </c>
      <c r="I1082" s="312">
        <v>0.14000000000000001</v>
      </c>
      <c r="J1082" s="313">
        <v>7.0000000000000007E-2</v>
      </c>
    </row>
    <row r="1083" spans="1:10" ht="17.25" thickBot="1" x14ac:dyDescent="0.35">
      <c r="A1083" s="314" t="s">
        <v>1318</v>
      </c>
      <c r="B1083" s="315">
        <f t="shared" si="48"/>
        <v>0</v>
      </c>
      <c r="C1083" s="315" t="str">
        <f t="shared" si="49"/>
        <v>Tolima</v>
      </c>
      <c r="D1083" s="315" t="str">
        <f t="shared" si="50"/>
        <v>Planadas, Tolima</v>
      </c>
      <c r="E1083" s="311">
        <v>73555</v>
      </c>
      <c r="F1083" s="312">
        <v>0.25</v>
      </c>
      <c r="G1083" s="312">
        <v>0.2</v>
      </c>
      <c r="H1083" s="312" t="s">
        <v>322</v>
      </c>
      <c r="I1083" s="312">
        <v>0.06</v>
      </c>
      <c r="J1083" s="313">
        <v>0.04</v>
      </c>
    </row>
    <row r="1084" spans="1:10" ht="17.25" thickBot="1" x14ac:dyDescent="0.35">
      <c r="A1084" s="314" t="s">
        <v>1319</v>
      </c>
      <c r="B1084" s="315">
        <f t="shared" si="48"/>
        <v>0</v>
      </c>
      <c r="C1084" s="315" t="str">
        <f t="shared" si="49"/>
        <v>Tolima</v>
      </c>
      <c r="D1084" s="315" t="str">
        <f t="shared" si="50"/>
        <v>Prado, Tolima</v>
      </c>
      <c r="E1084" s="311">
        <v>73563</v>
      </c>
      <c r="F1084" s="312">
        <v>0.25</v>
      </c>
      <c r="G1084" s="312">
        <v>0.2</v>
      </c>
      <c r="H1084" s="312" t="s">
        <v>322</v>
      </c>
      <c r="I1084" s="312">
        <v>0.13</v>
      </c>
      <c r="J1084" s="313">
        <v>0.06</v>
      </c>
    </row>
    <row r="1085" spans="1:10" ht="17.25" thickBot="1" x14ac:dyDescent="0.35">
      <c r="A1085" s="314" t="s">
        <v>1320</v>
      </c>
      <c r="B1085" s="315">
        <f t="shared" si="48"/>
        <v>0</v>
      </c>
      <c r="C1085" s="315" t="str">
        <f t="shared" si="49"/>
        <v>Tolima</v>
      </c>
      <c r="D1085" s="315" t="str">
        <f t="shared" si="50"/>
        <v>Purificación, Tolima</v>
      </c>
      <c r="E1085" s="311">
        <v>73585</v>
      </c>
      <c r="F1085" s="312">
        <v>0.25</v>
      </c>
      <c r="G1085" s="312">
        <v>0.2</v>
      </c>
      <c r="H1085" s="312" t="s">
        <v>322</v>
      </c>
      <c r="I1085" s="312">
        <v>0.14000000000000001</v>
      </c>
      <c r="J1085" s="313">
        <v>0.06</v>
      </c>
    </row>
    <row r="1086" spans="1:10" ht="17.25" thickBot="1" x14ac:dyDescent="0.35">
      <c r="A1086" s="314" t="s">
        <v>1321</v>
      </c>
      <c r="B1086" s="315">
        <f t="shared" si="48"/>
        <v>0</v>
      </c>
      <c r="C1086" s="315" t="str">
        <f t="shared" si="49"/>
        <v>Tolima</v>
      </c>
      <c r="D1086" s="315" t="str">
        <f t="shared" si="50"/>
        <v>Rioblanco, Tolima</v>
      </c>
      <c r="E1086" s="311">
        <v>73616</v>
      </c>
      <c r="F1086" s="312">
        <v>0.25</v>
      </c>
      <c r="G1086" s="312">
        <v>0.2</v>
      </c>
      <c r="H1086" s="312" t="s">
        <v>322</v>
      </c>
      <c r="I1086" s="312">
        <v>7.0000000000000007E-2</v>
      </c>
      <c r="J1086" s="313">
        <v>0.04</v>
      </c>
    </row>
    <row r="1087" spans="1:10" ht="17.25" thickBot="1" x14ac:dyDescent="0.35">
      <c r="A1087" s="314" t="s">
        <v>1322</v>
      </c>
      <c r="B1087" s="315">
        <f t="shared" si="48"/>
        <v>0</v>
      </c>
      <c r="C1087" s="315" t="str">
        <f t="shared" si="49"/>
        <v>Tolima</v>
      </c>
      <c r="D1087" s="315" t="str">
        <f t="shared" si="50"/>
        <v>Roncesvalles, Tolima</v>
      </c>
      <c r="E1087" s="311">
        <v>73622</v>
      </c>
      <c r="F1087" s="312">
        <v>0.25</v>
      </c>
      <c r="G1087" s="312">
        <v>0.2</v>
      </c>
      <c r="H1087" s="312" t="s">
        <v>322</v>
      </c>
      <c r="I1087" s="312">
        <v>0.15</v>
      </c>
      <c r="J1087" s="313">
        <v>0.08</v>
      </c>
    </row>
    <row r="1088" spans="1:10" ht="17.25" thickBot="1" x14ac:dyDescent="0.35">
      <c r="A1088" s="314" t="s">
        <v>1323</v>
      </c>
      <c r="B1088" s="315">
        <f t="shared" si="48"/>
        <v>0</v>
      </c>
      <c r="C1088" s="315" t="str">
        <f t="shared" si="49"/>
        <v>Tolima</v>
      </c>
      <c r="D1088" s="315" t="str">
        <f t="shared" si="50"/>
        <v>Rovira, Tolima</v>
      </c>
      <c r="E1088" s="311">
        <v>73624</v>
      </c>
      <c r="F1088" s="312">
        <v>0.2</v>
      </c>
      <c r="G1088" s="312">
        <v>0.2</v>
      </c>
      <c r="H1088" s="312" t="s">
        <v>40</v>
      </c>
      <c r="I1088" s="312">
        <v>0.12</v>
      </c>
      <c r="J1088" s="313">
        <v>7.0000000000000007E-2</v>
      </c>
    </row>
    <row r="1089" spans="1:10" ht="17.25" thickBot="1" x14ac:dyDescent="0.35">
      <c r="A1089" s="314" t="s">
        <v>1324</v>
      </c>
      <c r="B1089" s="315">
        <f t="shared" si="48"/>
        <v>0</v>
      </c>
      <c r="C1089" s="315" t="str">
        <f t="shared" si="49"/>
        <v>Tolima</v>
      </c>
      <c r="D1089" s="315" t="str">
        <f t="shared" si="50"/>
        <v>Saldaña, Tolima</v>
      </c>
      <c r="E1089" s="311">
        <v>73671</v>
      </c>
      <c r="F1089" s="312">
        <v>0.25</v>
      </c>
      <c r="G1089" s="312">
        <v>0.2</v>
      </c>
      <c r="H1089" s="312" t="s">
        <v>322</v>
      </c>
      <c r="I1089" s="312">
        <v>0.11</v>
      </c>
      <c r="J1089" s="313">
        <v>0.06</v>
      </c>
    </row>
    <row r="1090" spans="1:10" ht="17.25" thickBot="1" x14ac:dyDescent="0.35">
      <c r="A1090" s="314" t="s">
        <v>1325</v>
      </c>
      <c r="B1090" s="315">
        <f t="shared" si="48"/>
        <v>0</v>
      </c>
      <c r="C1090" s="315" t="str">
        <f t="shared" si="49"/>
        <v>Tolima</v>
      </c>
      <c r="D1090" s="315" t="str">
        <f t="shared" si="50"/>
        <v>San Antonio, Tolima</v>
      </c>
      <c r="E1090" s="311">
        <v>73675</v>
      </c>
      <c r="F1090" s="312">
        <v>0.25</v>
      </c>
      <c r="G1090" s="312">
        <v>0.2</v>
      </c>
      <c r="H1090" s="312" t="s">
        <v>322</v>
      </c>
      <c r="I1090" s="312">
        <v>0.1</v>
      </c>
      <c r="J1090" s="313">
        <v>0.06</v>
      </c>
    </row>
    <row r="1091" spans="1:10" ht="17.25" thickBot="1" x14ac:dyDescent="0.35">
      <c r="A1091" s="314" t="s">
        <v>429</v>
      </c>
      <c r="B1091" s="315">
        <f t="shared" ref="B1091:B1152" si="51">IFERROR(FIND("Departamento",A1091),0)</f>
        <v>0</v>
      </c>
      <c r="C1091" s="315" t="str">
        <f t="shared" ref="C1091:C1152" si="52">IF(B1091=1,IF(ISERROR(FIND("del",A1091)),MID(A1091,17,30),MID(A1091,18,30)),C1090)</f>
        <v>Tolima</v>
      </c>
      <c r="D1091" s="315" t="str">
        <f t="shared" ref="D1091:D1152" si="53">IF(B1091=1,"",CONCATENATE(A1091,", ",C1091))</f>
        <v>San Luis, Tolima</v>
      </c>
      <c r="E1091" s="311">
        <v>73678</v>
      </c>
      <c r="F1091" s="312">
        <v>0.25</v>
      </c>
      <c r="G1091" s="312">
        <v>0.2</v>
      </c>
      <c r="H1091" s="312" t="s">
        <v>322</v>
      </c>
      <c r="I1091" s="312">
        <v>0.1</v>
      </c>
      <c r="J1091" s="313">
        <v>0.06</v>
      </c>
    </row>
    <row r="1092" spans="1:10" ht="17.25" thickBot="1" x14ac:dyDescent="0.35">
      <c r="A1092" s="314" t="s">
        <v>1326</v>
      </c>
      <c r="B1092" s="315">
        <f t="shared" si="51"/>
        <v>0</v>
      </c>
      <c r="C1092" s="315" t="str">
        <f t="shared" si="52"/>
        <v>Tolima</v>
      </c>
      <c r="D1092" s="315" t="str">
        <f t="shared" si="53"/>
        <v>Santa Isabel, Tolima</v>
      </c>
      <c r="E1092" s="311">
        <v>73686</v>
      </c>
      <c r="F1092" s="312">
        <v>0.2</v>
      </c>
      <c r="G1092" s="312">
        <v>0.2</v>
      </c>
      <c r="H1092" s="312" t="s">
        <v>40</v>
      </c>
      <c r="I1092" s="312">
        <v>0.13</v>
      </c>
      <c r="J1092" s="313">
        <v>0.08</v>
      </c>
    </row>
    <row r="1093" spans="1:10" ht="17.25" thickBot="1" x14ac:dyDescent="0.35">
      <c r="A1093" s="314" t="s">
        <v>747</v>
      </c>
      <c r="B1093" s="315">
        <f t="shared" si="51"/>
        <v>0</v>
      </c>
      <c r="C1093" s="315" t="str">
        <f t="shared" si="52"/>
        <v>Tolima</v>
      </c>
      <c r="D1093" s="315" t="str">
        <f t="shared" si="53"/>
        <v>Suárez, Tolima</v>
      </c>
      <c r="E1093" s="311">
        <v>73770</v>
      </c>
      <c r="F1093" s="312">
        <v>0.25</v>
      </c>
      <c r="G1093" s="312">
        <v>0.2</v>
      </c>
      <c r="H1093" s="312" t="s">
        <v>322</v>
      </c>
      <c r="I1093" s="312">
        <v>0.13</v>
      </c>
      <c r="J1093" s="313">
        <v>0.06</v>
      </c>
    </row>
    <row r="1094" spans="1:10" ht="17.25" thickBot="1" x14ac:dyDescent="0.35">
      <c r="A1094" s="314" t="s">
        <v>1327</v>
      </c>
      <c r="B1094" s="315">
        <f t="shared" si="51"/>
        <v>0</v>
      </c>
      <c r="C1094" s="315" t="str">
        <f t="shared" si="52"/>
        <v>Tolima</v>
      </c>
      <c r="D1094" s="315" t="str">
        <f t="shared" si="53"/>
        <v>Valle De San Juan, Tolima</v>
      </c>
      <c r="E1094" s="311">
        <v>73854</v>
      </c>
      <c r="F1094" s="312">
        <v>0.25</v>
      </c>
      <c r="G1094" s="312">
        <v>0.2</v>
      </c>
      <c r="H1094" s="312" t="s">
        <v>322</v>
      </c>
      <c r="I1094" s="312">
        <v>0.1</v>
      </c>
      <c r="J1094" s="313">
        <v>0.06</v>
      </c>
    </row>
    <row r="1095" spans="1:10" ht="17.25" thickBot="1" x14ac:dyDescent="0.35">
      <c r="A1095" s="314" t="s">
        <v>1328</v>
      </c>
      <c r="B1095" s="315">
        <f t="shared" si="51"/>
        <v>0</v>
      </c>
      <c r="C1095" s="315" t="str">
        <f t="shared" si="52"/>
        <v>Tolima</v>
      </c>
      <c r="D1095" s="315" t="str">
        <f t="shared" si="53"/>
        <v>Venadillo, Tolima</v>
      </c>
      <c r="E1095" s="311">
        <v>73861</v>
      </c>
      <c r="F1095" s="312">
        <v>0.2</v>
      </c>
      <c r="G1095" s="312">
        <v>0.2</v>
      </c>
      <c r="H1095" s="312" t="s">
        <v>40</v>
      </c>
      <c r="I1095" s="312">
        <v>0.11</v>
      </c>
      <c r="J1095" s="313">
        <v>7.0000000000000007E-2</v>
      </c>
    </row>
    <row r="1096" spans="1:10" ht="17.25" thickBot="1" x14ac:dyDescent="0.35">
      <c r="A1096" s="314" t="s">
        <v>1329</v>
      </c>
      <c r="B1096" s="315">
        <f t="shared" si="51"/>
        <v>0</v>
      </c>
      <c r="C1096" s="315" t="str">
        <f t="shared" si="52"/>
        <v>Tolima</v>
      </c>
      <c r="D1096" s="315" t="str">
        <f t="shared" si="53"/>
        <v>Villahermosa, Tolima</v>
      </c>
      <c r="E1096" s="311">
        <v>73870</v>
      </c>
      <c r="F1096" s="312">
        <v>0.2</v>
      </c>
      <c r="G1096" s="312">
        <v>0.2</v>
      </c>
      <c r="H1096" s="312" t="s">
        <v>40</v>
      </c>
      <c r="I1096" s="312">
        <v>0.15</v>
      </c>
      <c r="J1096" s="313">
        <v>0.08</v>
      </c>
    </row>
    <row r="1097" spans="1:10" ht="17.25" thickBot="1" x14ac:dyDescent="0.35">
      <c r="A1097" s="314" t="s">
        <v>1330</v>
      </c>
      <c r="B1097" s="315">
        <f t="shared" si="51"/>
        <v>0</v>
      </c>
      <c r="C1097" s="315" t="str">
        <f t="shared" si="52"/>
        <v>Tolima</v>
      </c>
      <c r="D1097" s="315" t="str">
        <f t="shared" si="53"/>
        <v>Villarrica, Tolima</v>
      </c>
      <c r="E1097" s="311">
        <v>73873</v>
      </c>
      <c r="F1097" s="312">
        <v>0.25</v>
      </c>
      <c r="G1097" s="312">
        <v>0.2</v>
      </c>
      <c r="H1097" s="312" t="s">
        <v>322</v>
      </c>
      <c r="I1097" s="312">
        <v>0.09</v>
      </c>
      <c r="J1097" s="313">
        <v>0.05</v>
      </c>
    </row>
    <row r="1098" spans="1:10" ht="17.25" thickBot="1" x14ac:dyDescent="0.35">
      <c r="A1098" s="299" t="s">
        <v>1331</v>
      </c>
      <c r="B1098" s="300">
        <f t="shared" si="51"/>
        <v>1</v>
      </c>
      <c r="C1098" s="300" t="str">
        <f t="shared" si="52"/>
        <v>Valle</v>
      </c>
      <c r="D1098" s="300" t="str">
        <f t="shared" si="53"/>
        <v/>
      </c>
      <c r="E1098" s="301"/>
      <c r="F1098" s="302"/>
      <c r="G1098" s="302"/>
      <c r="H1098" s="302"/>
      <c r="I1098" s="302"/>
      <c r="J1098" s="303"/>
    </row>
    <row r="1099" spans="1:10" ht="17.25" thickBot="1" x14ac:dyDescent="0.35">
      <c r="A1099" s="309" t="s">
        <v>1332</v>
      </c>
      <c r="B1099" s="310">
        <f t="shared" si="51"/>
        <v>0</v>
      </c>
      <c r="C1099" s="310" t="str">
        <f t="shared" si="52"/>
        <v>Valle</v>
      </c>
      <c r="D1099" s="310" t="str">
        <f t="shared" si="53"/>
        <v>Cali, Valle</v>
      </c>
      <c r="E1099" s="311">
        <v>76001</v>
      </c>
      <c r="F1099" s="312">
        <v>0.25</v>
      </c>
      <c r="G1099" s="312">
        <v>0.25</v>
      </c>
      <c r="H1099" s="312" t="s">
        <v>322</v>
      </c>
      <c r="I1099" s="312">
        <v>0.15</v>
      </c>
      <c r="J1099" s="313">
        <v>0.09</v>
      </c>
    </row>
    <row r="1100" spans="1:10" ht="17.25" thickBot="1" x14ac:dyDescent="0.35">
      <c r="A1100" s="314" t="s">
        <v>1333</v>
      </c>
      <c r="B1100" s="315">
        <f t="shared" si="51"/>
        <v>0</v>
      </c>
      <c r="C1100" s="315" t="str">
        <f t="shared" si="52"/>
        <v>Valle</v>
      </c>
      <c r="D1100" s="315" t="str">
        <f t="shared" si="53"/>
        <v>Alcalá, Valle</v>
      </c>
      <c r="E1100" s="311">
        <v>76020</v>
      </c>
      <c r="F1100" s="312">
        <v>0.25</v>
      </c>
      <c r="G1100" s="312">
        <v>0.25</v>
      </c>
      <c r="H1100" s="312" t="s">
        <v>322</v>
      </c>
      <c r="I1100" s="312">
        <v>0.16</v>
      </c>
      <c r="J1100" s="313">
        <v>0.1</v>
      </c>
    </row>
    <row r="1101" spans="1:10" ht="17.25" thickBot="1" x14ac:dyDescent="0.35">
      <c r="A1101" s="314" t="s">
        <v>1334</v>
      </c>
      <c r="B1101" s="315">
        <f t="shared" si="51"/>
        <v>0</v>
      </c>
      <c r="C1101" s="315" t="str">
        <f t="shared" si="52"/>
        <v>Valle</v>
      </c>
      <c r="D1101" s="315" t="str">
        <f t="shared" si="53"/>
        <v>Andalucía, Valle</v>
      </c>
      <c r="E1101" s="311">
        <v>76036</v>
      </c>
      <c r="F1101" s="312">
        <v>0.25</v>
      </c>
      <c r="G1101" s="312">
        <v>0.25</v>
      </c>
      <c r="H1101" s="312" t="s">
        <v>322</v>
      </c>
      <c r="I1101" s="312">
        <v>0.14000000000000001</v>
      </c>
      <c r="J1101" s="313">
        <v>0.09</v>
      </c>
    </row>
    <row r="1102" spans="1:10" ht="17.25" thickBot="1" x14ac:dyDescent="0.35">
      <c r="A1102" s="314" t="s">
        <v>1335</v>
      </c>
      <c r="B1102" s="315">
        <f t="shared" si="51"/>
        <v>0</v>
      </c>
      <c r="C1102" s="315" t="str">
        <f t="shared" si="52"/>
        <v>Valle</v>
      </c>
      <c r="D1102" s="315" t="str">
        <f t="shared" si="53"/>
        <v>AnsermaNuevo, Valle</v>
      </c>
      <c r="E1102" s="311">
        <v>76041</v>
      </c>
      <c r="F1102" s="312">
        <v>0.25</v>
      </c>
      <c r="G1102" s="312">
        <v>0.3</v>
      </c>
      <c r="H1102" s="312" t="s">
        <v>322</v>
      </c>
      <c r="I1102" s="312">
        <v>0.16</v>
      </c>
      <c r="J1102" s="313">
        <v>0.1</v>
      </c>
    </row>
    <row r="1103" spans="1:10" ht="17.25" thickBot="1" x14ac:dyDescent="0.35">
      <c r="A1103" s="314" t="s">
        <v>345</v>
      </c>
      <c r="B1103" s="315">
        <f t="shared" si="51"/>
        <v>0</v>
      </c>
      <c r="C1103" s="315" t="str">
        <f t="shared" si="52"/>
        <v>Valle</v>
      </c>
      <c r="D1103" s="315" t="str">
        <f t="shared" si="53"/>
        <v>Argelia, Valle</v>
      </c>
      <c r="E1103" s="311">
        <v>76054</v>
      </c>
      <c r="F1103" s="312">
        <v>0.3</v>
      </c>
      <c r="G1103" s="312">
        <v>0.3</v>
      </c>
      <c r="H1103" s="312" t="s">
        <v>322</v>
      </c>
      <c r="I1103" s="312">
        <v>0.16</v>
      </c>
      <c r="J1103" s="313">
        <v>0.1</v>
      </c>
    </row>
    <row r="1104" spans="1:10" ht="17.25" thickBot="1" x14ac:dyDescent="0.35">
      <c r="A1104" s="314" t="s">
        <v>300</v>
      </c>
      <c r="B1104" s="315">
        <f t="shared" si="51"/>
        <v>0</v>
      </c>
      <c r="C1104" s="315" t="str">
        <f t="shared" si="52"/>
        <v>Valle</v>
      </c>
      <c r="D1104" s="315" t="str">
        <f t="shared" si="53"/>
        <v>Bolívar, Valle</v>
      </c>
      <c r="E1104" s="311">
        <v>76100</v>
      </c>
      <c r="F1104" s="312">
        <v>0.3</v>
      </c>
      <c r="G1104" s="312">
        <v>0.3</v>
      </c>
      <c r="H1104" s="312" t="s">
        <v>322</v>
      </c>
      <c r="I1104" s="312">
        <v>0.16</v>
      </c>
      <c r="J1104" s="313">
        <v>0.1</v>
      </c>
    </row>
    <row r="1105" spans="1:10" ht="17.25" thickBot="1" x14ac:dyDescent="0.35">
      <c r="A1105" s="314" t="s">
        <v>1336</v>
      </c>
      <c r="B1105" s="315">
        <f t="shared" si="51"/>
        <v>0</v>
      </c>
      <c r="C1105" s="315" t="str">
        <f t="shared" si="52"/>
        <v>Valle</v>
      </c>
      <c r="D1105" s="315" t="str">
        <f t="shared" si="53"/>
        <v>Buenaventura, Valle</v>
      </c>
      <c r="E1105" s="311">
        <v>76109</v>
      </c>
      <c r="F1105" s="312">
        <v>0.4</v>
      </c>
      <c r="G1105" s="312">
        <v>0.35</v>
      </c>
      <c r="H1105" s="312" t="s">
        <v>322</v>
      </c>
      <c r="I1105" s="312">
        <v>0.13</v>
      </c>
      <c r="J1105" s="313">
        <v>0.08</v>
      </c>
    </row>
    <row r="1106" spans="1:10" ht="17.25" thickBot="1" x14ac:dyDescent="0.35">
      <c r="A1106" s="314" t="s">
        <v>1337</v>
      </c>
      <c r="B1106" s="315">
        <f t="shared" si="51"/>
        <v>0</v>
      </c>
      <c r="C1106" s="315" t="str">
        <f t="shared" si="52"/>
        <v>Valle</v>
      </c>
      <c r="D1106" s="315" t="str">
        <f t="shared" si="53"/>
        <v>Buga, Valle</v>
      </c>
      <c r="E1106" s="311">
        <v>76111</v>
      </c>
      <c r="F1106" s="312">
        <v>0.25</v>
      </c>
      <c r="G1106" s="312">
        <v>0.2</v>
      </c>
      <c r="H1106" s="312" t="s">
        <v>322</v>
      </c>
      <c r="I1106" s="312">
        <v>0.11</v>
      </c>
      <c r="J1106" s="313">
        <v>7.0000000000000007E-2</v>
      </c>
    </row>
    <row r="1107" spans="1:10" ht="17.25" thickBot="1" x14ac:dyDescent="0.35">
      <c r="A1107" s="314" t="s">
        <v>1338</v>
      </c>
      <c r="B1107" s="315">
        <f t="shared" si="51"/>
        <v>0</v>
      </c>
      <c r="C1107" s="315" t="str">
        <f t="shared" si="52"/>
        <v>Valle</v>
      </c>
      <c r="D1107" s="315" t="str">
        <f t="shared" si="53"/>
        <v>Bugalagrande, Valle</v>
      </c>
      <c r="E1107" s="311">
        <v>76113</v>
      </c>
      <c r="F1107" s="312">
        <v>0.25</v>
      </c>
      <c r="G1107" s="312">
        <v>0.25</v>
      </c>
      <c r="H1107" s="312" t="s">
        <v>322</v>
      </c>
      <c r="I1107" s="312">
        <v>0.13</v>
      </c>
      <c r="J1107" s="313">
        <v>0.08</v>
      </c>
    </row>
    <row r="1108" spans="1:10" ht="17.25" thickBot="1" x14ac:dyDescent="0.35">
      <c r="A1108" s="314" t="s">
        <v>1339</v>
      </c>
      <c r="B1108" s="315">
        <f t="shared" si="51"/>
        <v>0</v>
      </c>
      <c r="C1108" s="315" t="str">
        <f t="shared" si="52"/>
        <v>Valle</v>
      </c>
      <c r="D1108" s="315" t="str">
        <f t="shared" si="53"/>
        <v>Caicedonia, Valle</v>
      </c>
      <c r="E1108" s="311">
        <v>76122</v>
      </c>
      <c r="F1108" s="312">
        <v>0.25</v>
      </c>
      <c r="G1108" s="312">
        <v>0.2</v>
      </c>
      <c r="H1108" s="312" t="s">
        <v>322</v>
      </c>
      <c r="I1108" s="312">
        <v>0.14000000000000001</v>
      </c>
      <c r="J1108" s="313">
        <v>0.08</v>
      </c>
    </row>
    <row r="1109" spans="1:10" ht="17.25" thickBot="1" x14ac:dyDescent="0.35">
      <c r="A1109" s="314" t="s">
        <v>1340</v>
      </c>
      <c r="B1109" s="315">
        <f t="shared" si="51"/>
        <v>0</v>
      </c>
      <c r="C1109" s="315" t="str">
        <f t="shared" si="52"/>
        <v>Valle</v>
      </c>
      <c r="D1109" s="315" t="str">
        <f t="shared" si="53"/>
        <v>Calima, Valle</v>
      </c>
      <c r="E1109" s="311">
        <v>76126</v>
      </c>
      <c r="F1109" s="312">
        <v>0.3</v>
      </c>
      <c r="G1109" s="312">
        <v>0.3</v>
      </c>
      <c r="H1109" s="312" t="s">
        <v>322</v>
      </c>
      <c r="I1109" s="312">
        <v>0.1</v>
      </c>
      <c r="J1109" s="313">
        <v>7.0000000000000007E-2</v>
      </c>
    </row>
    <row r="1110" spans="1:10" ht="17.25" thickBot="1" x14ac:dyDescent="0.35">
      <c r="A1110" s="314" t="s">
        <v>474</v>
      </c>
      <c r="B1110" s="315">
        <f t="shared" si="51"/>
        <v>0</v>
      </c>
      <c r="C1110" s="315" t="str">
        <f t="shared" si="52"/>
        <v>Valle</v>
      </c>
      <c r="D1110" s="315" t="str">
        <f t="shared" si="53"/>
        <v>Candelaria, Valle</v>
      </c>
      <c r="E1110" s="311">
        <v>76130</v>
      </c>
      <c r="F1110" s="312">
        <v>0.25</v>
      </c>
      <c r="G1110" s="312">
        <v>0.2</v>
      </c>
      <c r="H1110" s="312" t="s">
        <v>322</v>
      </c>
      <c r="I1110" s="312">
        <v>0.1</v>
      </c>
      <c r="J1110" s="313">
        <v>7.0000000000000007E-2</v>
      </c>
    </row>
    <row r="1111" spans="1:10" ht="17.25" thickBot="1" x14ac:dyDescent="0.35">
      <c r="A1111" s="314" t="s">
        <v>1341</v>
      </c>
      <c r="B1111" s="315">
        <f t="shared" si="51"/>
        <v>0</v>
      </c>
      <c r="C1111" s="315" t="str">
        <f t="shared" si="52"/>
        <v>Valle</v>
      </c>
      <c r="D1111" s="315" t="str">
        <f t="shared" si="53"/>
        <v>Cartago, Valle</v>
      </c>
      <c r="E1111" s="311">
        <v>76147</v>
      </c>
      <c r="F1111" s="312">
        <v>0.25</v>
      </c>
      <c r="G1111" s="312">
        <v>0.25</v>
      </c>
      <c r="H1111" s="312" t="s">
        <v>322</v>
      </c>
      <c r="I1111" s="312">
        <v>0.16</v>
      </c>
      <c r="J1111" s="313">
        <v>0.1</v>
      </c>
    </row>
    <row r="1112" spans="1:10" ht="17.25" thickBot="1" x14ac:dyDescent="0.35">
      <c r="A1112" s="314" t="s">
        <v>1342</v>
      </c>
      <c r="B1112" s="315">
        <f t="shared" si="51"/>
        <v>0</v>
      </c>
      <c r="C1112" s="315" t="str">
        <f t="shared" si="52"/>
        <v>Valle</v>
      </c>
      <c r="D1112" s="315" t="str">
        <f t="shared" si="53"/>
        <v>Dagua, Valle</v>
      </c>
      <c r="E1112" s="311">
        <v>76233</v>
      </c>
      <c r="F1112" s="312">
        <v>0.25</v>
      </c>
      <c r="G1112" s="312">
        <v>0.25</v>
      </c>
      <c r="H1112" s="312" t="s">
        <v>322</v>
      </c>
      <c r="I1112" s="312">
        <v>0.09</v>
      </c>
      <c r="J1112" s="313">
        <v>0.06</v>
      </c>
    </row>
    <row r="1113" spans="1:10" ht="17.25" thickBot="1" x14ac:dyDescent="0.35">
      <c r="A1113" s="314" t="s">
        <v>1343</v>
      </c>
      <c r="B1113" s="315">
        <f t="shared" si="51"/>
        <v>0</v>
      </c>
      <c r="C1113" s="315" t="str">
        <f t="shared" si="52"/>
        <v>Valle</v>
      </c>
      <c r="D1113" s="315" t="str">
        <f t="shared" si="53"/>
        <v>El Águila, Valle</v>
      </c>
      <c r="E1113" s="311">
        <v>76243</v>
      </c>
      <c r="F1113" s="312">
        <v>0.3</v>
      </c>
      <c r="G1113" s="312">
        <v>0.3</v>
      </c>
      <c r="H1113" s="312" t="s">
        <v>322</v>
      </c>
      <c r="I1113" s="312">
        <v>0.16</v>
      </c>
      <c r="J1113" s="313">
        <v>0.1</v>
      </c>
    </row>
    <row r="1114" spans="1:10" ht="17.25" thickBot="1" x14ac:dyDescent="0.35">
      <c r="A1114" s="314" t="s">
        <v>1344</v>
      </c>
      <c r="B1114" s="315">
        <f t="shared" si="51"/>
        <v>0</v>
      </c>
      <c r="C1114" s="315" t="str">
        <f t="shared" si="52"/>
        <v>Valle</v>
      </c>
      <c r="D1114" s="315" t="str">
        <f t="shared" si="53"/>
        <v>El Cairo, Valle</v>
      </c>
      <c r="E1114" s="311">
        <v>76246</v>
      </c>
      <c r="F1114" s="312">
        <v>0.3</v>
      </c>
      <c r="G1114" s="312">
        <v>0.3</v>
      </c>
      <c r="H1114" s="312" t="s">
        <v>322</v>
      </c>
      <c r="I1114" s="312">
        <v>0.16</v>
      </c>
      <c r="J1114" s="313">
        <v>0.1</v>
      </c>
    </row>
    <row r="1115" spans="1:10" ht="17.25" thickBot="1" x14ac:dyDescent="0.35">
      <c r="A1115" s="314" t="s">
        <v>1345</v>
      </c>
      <c r="B1115" s="315">
        <f t="shared" si="51"/>
        <v>0</v>
      </c>
      <c r="C1115" s="315" t="str">
        <f t="shared" si="52"/>
        <v>Valle</v>
      </c>
      <c r="D1115" s="315" t="str">
        <f t="shared" si="53"/>
        <v>El Cerrito, Valle</v>
      </c>
      <c r="E1115" s="311">
        <v>76248</v>
      </c>
      <c r="F1115" s="312">
        <v>0.25</v>
      </c>
      <c r="G1115" s="312">
        <v>0.2</v>
      </c>
      <c r="H1115" s="312" t="s">
        <v>322</v>
      </c>
      <c r="I1115" s="312">
        <v>0.11</v>
      </c>
      <c r="J1115" s="313">
        <v>7.0000000000000007E-2</v>
      </c>
    </row>
    <row r="1116" spans="1:10" ht="17.25" thickBot="1" x14ac:dyDescent="0.35">
      <c r="A1116" s="314" t="s">
        <v>1346</v>
      </c>
      <c r="B1116" s="315">
        <f t="shared" si="51"/>
        <v>0</v>
      </c>
      <c r="C1116" s="315" t="str">
        <f t="shared" si="52"/>
        <v>Valle</v>
      </c>
      <c r="D1116" s="315" t="str">
        <f t="shared" si="53"/>
        <v>El Dovio, Valle</v>
      </c>
      <c r="E1116" s="311">
        <v>76250</v>
      </c>
      <c r="F1116" s="312">
        <v>0.3</v>
      </c>
      <c r="G1116" s="312">
        <v>0.3</v>
      </c>
      <c r="H1116" s="312" t="s">
        <v>322</v>
      </c>
      <c r="I1116" s="312">
        <v>0.18</v>
      </c>
      <c r="J1116" s="313">
        <v>0.1</v>
      </c>
    </row>
    <row r="1117" spans="1:10" ht="17.25" thickBot="1" x14ac:dyDescent="0.35">
      <c r="A1117" s="314" t="s">
        <v>1347</v>
      </c>
      <c r="B1117" s="315">
        <f t="shared" si="51"/>
        <v>0</v>
      </c>
      <c r="C1117" s="315" t="str">
        <f t="shared" si="52"/>
        <v>Valle</v>
      </c>
      <c r="D1117" s="315" t="str">
        <f t="shared" si="53"/>
        <v>Florida, Valle</v>
      </c>
      <c r="E1117" s="311">
        <v>76275</v>
      </c>
      <c r="F1117" s="312">
        <v>0.25</v>
      </c>
      <c r="G1117" s="312">
        <v>0.2</v>
      </c>
      <c r="H1117" s="312" t="s">
        <v>322</v>
      </c>
      <c r="I1117" s="312">
        <v>0.1</v>
      </c>
      <c r="J1117" s="313">
        <v>0.06</v>
      </c>
    </row>
    <row r="1118" spans="1:10" ht="17.25" thickBot="1" x14ac:dyDescent="0.35">
      <c r="A1118" s="314" t="s">
        <v>1348</v>
      </c>
      <c r="B1118" s="315">
        <f t="shared" si="51"/>
        <v>0</v>
      </c>
      <c r="C1118" s="315" t="str">
        <f t="shared" si="52"/>
        <v>Valle</v>
      </c>
      <c r="D1118" s="315" t="str">
        <f t="shared" si="53"/>
        <v>Ginebra, Valle</v>
      </c>
      <c r="E1118" s="311">
        <v>76306</v>
      </c>
      <c r="F1118" s="312">
        <v>0.25</v>
      </c>
      <c r="G1118" s="312">
        <v>0.2</v>
      </c>
      <c r="H1118" s="312" t="s">
        <v>322</v>
      </c>
      <c r="I1118" s="312">
        <v>0.11</v>
      </c>
      <c r="J1118" s="313">
        <v>7.0000000000000007E-2</v>
      </c>
    </row>
    <row r="1119" spans="1:10" ht="17.25" thickBot="1" x14ac:dyDescent="0.35">
      <c r="A1119" s="314" t="s">
        <v>1349</v>
      </c>
      <c r="B1119" s="315">
        <f t="shared" si="51"/>
        <v>0</v>
      </c>
      <c r="C1119" s="315" t="str">
        <f t="shared" si="52"/>
        <v>Valle</v>
      </c>
      <c r="D1119" s="315" t="str">
        <f t="shared" si="53"/>
        <v>Guacarí, Valle</v>
      </c>
      <c r="E1119" s="311">
        <v>76318</v>
      </c>
      <c r="F1119" s="312">
        <v>0.25</v>
      </c>
      <c r="G1119" s="312">
        <v>0.25</v>
      </c>
      <c r="H1119" s="312" t="s">
        <v>322</v>
      </c>
      <c r="I1119" s="312">
        <v>0.12</v>
      </c>
      <c r="J1119" s="313">
        <v>0.08</v>
      </c>
    </row>
    <row r="1120" spans="1:10" ht="17.25" thickBot="1" x14ac:dyDescent="0.35">
      <c r="A1120" s="314" t="s">
        <v>1350</v>
      </c>
      <c r="B1120" s="315">
        <f t="shared" si="51"/>
        <v>0</v>
      </c>
      <c r="C1120" s="315" t="str">
        <f t="shared" si="52"/>
        <v>Valle</v>
      </c>
      <c r="D1120" s="315" t="str">
        <f t="shared" si="53"/>
        <v>Jamundí, Valle</v>
      </c>
      <c r="E1120" s="311">
        <v>76364</v>
      </c>
      <c r="F1120" s="312">
        <v>0.25</v>
      </c>
      <c r="G1120" s="312">
        <v>0.25</v>
      </c>
      <c r="H1120" s="312" t="s">
        <v>322</v>
      </c>
      <c r="I1120" s="312">
        <v>0.16</v>
      </c>
      <c r="J1120" s="313">
        <v>0.1</v>
      </c>
    </row>
    <row r="1121" spans="1:10" ht="17.25" thickBot="1" x14ac:dyDescent="0.35">
      <c r="A1121" s="314" t="s">
        <v>1351</v>
      </c>
      <c r="B1121" s="315">
        <f t="shared" si="51"/>
        <v>0</v>
      </c>
      <c r="C1121" s="315" t="str">
        <f t="shared" si="52"/>
        <v>Valle</v>
      </c>
      <c r="D1121" s="315" t="str">
        <f t="shared" si="53"/>
        <v>La Cumbre, Valle</v>
      </c>
      <c r="E1121" s="311">
        <v>76377</v>
      </c>
      <c r="F1121" s="312">
        <v>0.25</v>
      </c>
      <c r="G1121" s="312">
        <v>0.25</v>
      </c>
      <c r="H1121" s="312" t="s">
        <v>322</v>
      </c>
      <c r="I1121" s="312">
        <v>0.11</v>
      </c>
      <c r="J1121" s="313">
        <v>0.08</v>
      </c>
    </row>
    <row r="1122" spans="1:10" ht="17.25" thickBot="1" x14ac:dyDescent="0.35">
      <c r="A1122" s="314" t="s">
        <v>401</v>
      </c>
      <c r="B1122" s="315">
        <f t="shared" si="51"/>
        <v>0</v>
      </c>
      <c r="C1122" s="315" t="str">
        <f t="shared" si="52"/>
        <v>Valle</v>
      </c>
      <c r="D1122" s="315" t="str">
        <f t="shared" si="53"/>
        <v>La Unión, Valle</v>
      </c>
      <c r="E1122" s="311">
        <v>76400</v>
      </c>
      <c r="F1122" s="312">
        <v>0.25</v>
      </c>
      <c r="G1122" s="312">
        <v>0.25</v>
      </c>
      <c r="H1122" s="312" t="s">
        <v>322</v>
      </c>
      <c r="I1122" s="312">
        <v>0.16</v>
      </c>
      <c r="J1122" s="313">
        <v>0.13</v>
      </c>
    </row>
    <row r="1123" spans="1:10" ht="17.25" thickBot="1" x14ac:dyDescent="0.35">
      <c r="A1123" s="314" t="s">
        <v>303</v>
      </c>
      <c r="B1123" s="315">
        <f t="shared" si="51"/>
        <v>0</v>
      </c>
      <c r="C1123" s="315" t="str">
        <f t="shared" si="52"/>
        <v>Valle</v>
      </c>
      <c r="D1123" s="315" t="str">
        <f t="shared" si="53"/>
        <v>La Victoria, Valle</v>
      </c>
      <c r="E1123" s="311">
        <v>76403</v>
      </c>
      <c r="F1123" s="312">
        <v>0.25</v>
      </c>
      <c r="G1123" s="312">
        <v>0.25</v>
      </c>
      <c r="H1123" s="312" t="s">
        <v>322</v>
      </c>
      <c r="I1123" s="312">
        <v>0.15</v>
      </c>
      <c r="J1123" s="313">
        <v>0.1</v>
      </c>
    </row>
    <row r="1124" spans="1:10" ht="17.25" thickBot="1" x14ac:dyDescent="0.35">
      <c r="A1124" s="314" t="s">
        <v>1352</v>
      </c>
      <c r="B1124" s="315">
        <f t="shared" si="51"/>
        <v>0</v>
      </c>
      <c r="C1124" s="315" t="str">
        <f t="shared" si="52"/>
        <v>Valle</v>
      </c>
      <c r="D1124" s="315" t="str">
        <f t="shared" si="53"/>
        <v>Obando, Valle</v>
      </c>
      <c r="E1124" s="311">
        <v>76497</v>
      </c>
      <c r="F1124" s="312">
        <v>0.25</v>
      </c>
      <c r="G1124" s="312">
        <v>0.25</v>
      </c>
      <c r="H1124" s="312" t="s">
        <v>322</v>
      </c>
      <c r="I1124" s="312">
        <v>0.16</v>
      </c>
      <c r="J1124" s="313">
        <v>0.1</v>
      </c>
    </row>
    <row r="1125" spans="1:10" ht="17.25" thickBot="1" x14ac:dyDescent="0.35">
      <c r="A1125" s="314" t="s">
        <v>1353</v>
      </c>
      <c r="B1125" s="315">
        <f t="shared" si="51"/>
        <v>0</v>
      </c>
      <c r="C1125" s="315" t="str">
        <f t="shared" si="52"/>
        <v>Valle</v>
      </c>
      <c r="D1125" s="315" t="str">
        <f t="shared" si="53"/>
        <v>Palmira, Valle</v>
      </c>
      <c r="E1125" s="311">
        <v>76520</v>
      </c>
      <c r="F1125" s="312">
        <v>0.25</v>
      </c>
      <c r="G1125" s="312">
        <v>0.2</v>
      </c>
      <c r="H1125" s="312" t="s">
        <v>322</v>
      </c>
      <c r="I1125" s="312">
        <v>0.12</v>
      </c>
      <c r="J1125" s="313">
        <v>7.0000000000000007E-2</v>
      </c>
    </row>
    <row r="1126" spans="1:10" ht="17.25" thickBot="1" x14ac:dyDescent="0.35">
      <c r="A1126" s="314" t="s">
        <v>1354</v>
      </c>
      <c r="B1126" s="315">
        <f t="shared" si="51"/>
        <v>0</v>
      </c>
      <c r="C1126" s="315" t="str">
        <f t="shared" si="52"/>
        <v>Valle</v>
      </c>
      <c r="D1126" s="315" t="str">
        <f t="shared" si="53"/>
        <v>Pradera, Valle</v>
      </c>
      <c r="E1126" s="311">
        <v>76563</v>
      </c>
      <c r="F1126" s="312">
        <v>0.25</v>
      </c>
      <c r="G1126" s="312">
        <v>0.2</v>
      </c>
      <c r="H1126" s="312" t="s">
        <v>322</v>
      </c>
      <c r="I1126" s="312">
        <v>0.12</v>
      </c>
      <c r="J1126" s="313">
        <v>0.06</v>
      </c>
    </row>
    <row r="1127" spans="1:10" ht="17.25" thickBot="1" x14ac:dyDescent="0.35">
      <c r="A1127" s="314" t="s">
        <v>1058</v>
      </c>
      <c r="B1127" s="315">
        <f t="shared" si="51"/>
        <v>0</v>
      </c>
      <c r="C1127" s="315" t="str">
        <f t="shared" si="52"/>
        <v>Valle</v>
      </c>
      <c r="D1127" s="315" t="str">
        <f t="shared" si="53"/>
        <v>Restrepo, Valle</v>
      </c>
      <c r="E1127" s="311">
        <v>76606</v>
      </c>
      <c r="F1127" s="312">
        <v>0.25</v>
      </c>
      <c r="G1127" s="312">
        <v>0.25</v>
      </c>
      <c r="H1127" s="312" t="s">
        <v>322</v>
      </c>
      <c r="I1127" s="312">
        <v>0.11</v>
      </c>
      <c r="J1127" s="313">
        <v>0.08</v>
      </c>
    </row>
    <row r="1128" spans="1:10" ht="17.25" thickBot="1" x14ac:dyDescent="0.35">
      <c r="A1128" s="314" t="s">
        <v>1355</v>
      </c>
      <c r="B1128" s="315">
        <f t="shared" si="51"/>
        <v>0</v>
      </c>
      <c r="C1128" s="315" t="str">
        <f t="shared" si="52"/>
        <v>Valle</v>
      </c>
      <c r="D1128" s="315" t="str">
        <f t="shared" si="53"/>
        <v>Riofrío, Valle</v>
      </c>
      <c r="E1128" s="311">
        <v>76616</v>
      </c>
      <c r="F1128" s="312">
        <v>0.25</v>
      </c>
      <c r="G1128" s="312">
        <v>0.25</v>
      </c>
      <c r="H1128" s="312" t="s">
        <v>322</v>
      </c>
      <c r="I1128" s="312">
        <v>0.16</v>
      </c>
      <c r="J1128" s="313">
        <v>0.1</v>
      </c>
    </row>
    <row r="1129" spans="1:10" ht="17.25" thickBot="1" x14ac:dyDescent="0.35">
      <c r="A1129" s="314" t="s">
        <v>1356</v>
      </c>
      <c r="B1129" s="315">
        <f t="shared" si="51"/>
        <v>0</v>
      </c>
      <c r="C1129" s="315" t="str">
        <f t="shared" si="52"/>
        <v>Valle</v>
      </c>
      <c r="D1129" s="315" t="str">
        <f t="shared" si="53"/>
        <v>Roldanillo, Valle</v>
      </c>
      <c r="E1129" s="311">
        <v>76622</v>
      </c>
      <c r="F1129" s="312">
        <v>0.25</v>
      </c>
      <c r="G1129" s="312">
        <v>0.25</v>
      </c>
      <c r="H1129" s="312" t="s">
        <v>322</v>
      </c>
      <c r="I1129" s="312">
        <v>0.16</v>
      </c>
      <c r="J1129" s="313">
        <v>0.1</v>
      </c>
    </row>
    <row r="1130" spans="1:10" ht="17.25" thickBot="1" x14ac:dyDescent="0.35">
      <c r="A1130" s="314" t="s">
        <v>430</v>
      </c>
      <c r="B1130" s="315">
        <f t="shared" si="51"/>
        <v>0</v>
      </c>
      <c r="C1130" s="315" t="str">
        <f t="shared" si="52"/>
        <v>Valle</v>
      </c>
      <c r="D1130" s="315" t="str">
        <f t="shared" si="53"/>
        <v>San Pedro, Valle</v>
      </c>
      <c r="E1130" s="311">
        <v>76670</v>
      </c>
      <c r="F1130" s="312">
        <v>0.25</v>
      </c>
      <c r="G1130" s="312">
        <v>0.25</v>
      </c>
      <c r="H1130" s="312" t="s">
        <v>322</v>
      </c>
      <c r="I1130" s="312">
        <v>0.12</v>
      </c>
      <c r="J1130" s="313">
        <v>0.08</v>
      </c>
    </row>
    <row r="1131" spans="1:10" ht="17.25" thickBot="1" x14ac:dyDescent="0.35">
      <c r="A1131" s="314" t="s">
        <v>1357</v>
      </c>
      <c r="B1131" s="315">
        <f t="shared" si="51"/>
        <v>0</v>
      </c>
      <c r="C1131" s="315" t="str">
        <f t="shared" si="52"/>
        <v>Valle</v>
      </c>
      <c r="D1131" s="315" t="str">
        <f t="shared" si="53"/>
        <v>SeVilla, Valle</v>
      </c>
      <c r="E1131" s="311">
        <v>76736</v>
      </c>
      <c r="F1131" s="312">
        <v>0.25</v>
      </c>
      <c r="G1131" s="312">
        <v>0.2</v>
      </c>
      <c r="H1131" s="312" t="s">
        <v>322</v>
      </c>
      <c r="I1131" s="312">
        <v>0.13</v>
      </c>
      <c r="J1131" s="313">
        <v>0.08</v>
      </c>
    </row>
    <row r="1132" spans="1:10" ht="17.25" thickBot="1" x14ac:dyDescent="0.35">
      <c r="A1132" s="314" t="s">
        <v>1358</v>
      </c>
      <c r="B1132" s="315">
        <f t="shared" si="51"/>
        <v>0</v>
      </c>
      <c r="C1132" s="315" t="str">
        <f t="shared" si="52"/>
        <v>Valle</v>
      </c>
      <c r="D1132" s="315" t="str">
        <f t="shared" si="53"/>
        <v>Toro, Valle</v>
      </c>
      <c r="E1132" s="311">
        <v>76823</v>
      </c>
      <c r="F1132" s="312">
        <v>0.25</v>
      </c>
      <c r="G1132" s="312">
        <v>0.25</v>
      </c>
      <c r="H1132" s="312" t="s">
        <v>322</v>
      </c>
      <c r="I1132" s="312">
        <v>0.16</v>
      </c>
      <c r="J1132" s="313">
        <v>0.14000000000000001</v>
      </c>
    </row>
    <row r="1133" spans="1:10" ht="17.25" thickBot="1" x14ac:dyDescent="0.35">
      <c r="A1133" s="314" t="s">
        <v>1359</v>
      </c>
      <c r="B1133" s="315">
        <f t="shared" si="51"/>
        <v>0</v>
      </c>
      <c r="C1133" s="315" t="str">
        <f t="shared" si="52"/>
        <v>Valle</v>
      </c>
      <c r="D1133" s="315" t="str">
        <f t="shared" si="53"/>
        <v>Trujillo, Valle</v>
      </c>
      <c r="E1133" s="311">
        <v>76828</v>
      </c>
      <c r="F1133" s="312">
        <v>0.25</v>
      </c>
      <c r="G1133" s="312">
        <v>0.25</v>
      </c>
      <c r="H1133" s="312" t="s">
        <v>322</v>
      </c>
      <c r="I1133" s="312">
        <v>0.15</v>
      </c>
      <c r="J1133" s="313">
        <v>0.1</v>
      </c>
    </row>
    <row r="1134" spans="1:10" ht="17.25" thickBot="1" x14ac:dyDescent="0.35">
      <c r="A1134" s="314" t="s">
        <v>1360</v>
      </c>
      <c r="B1134" s="315">
        <f t="shared" si="51"/>
        <v>0</v>
      </c>
      <c r="C1134" s="315" t="str">
        <f t="shared" si="52"/>
        <v>Valle</v>
      </c>
      <c r="D1134" s="315" t="str">
        <f t="shared" si="53"/>
        <v>Tuluá, Valle</v>
      </c>
      <c r="E1134" s="311">
        <v>76834</v>
      </c>
      <c r="F1134" s="312">
        <v>0.25</v>
      </c>
      <c r="G1134" s="312">
        <v>0.2</v>
      </c>
      <c r="H1134" s="312" t="s">
        <v>322</v>
      </c>
      <c r="I1134" s="312">
        <v>0.12</v>
      </c>
      <c r="J1134" s="313">
        <v>7.0000000000000007E-2</v>
      </c>
    </row>
    <row r="1135" spans="1:10" ht="17.25" thickBot="1" x14ac:dyDescent="0.35">
      <c r="A1135" s="314" t="s">
        <v>1361</v>
      </c>
      <c r="B1135" s="315">
        <f t="shared" si="51"/>
        <v>0</v>
      </c>
      <c r="C1135" s="315" t="str">
        <f t="shared" si="52"/>
        <v>Valle</v>
      </c>
      <c r="D1135" s="315" t="str">
        <f t="shared" si="53"/>
        <v>Ulloa, Valle</v>
      </c>
      <c r="E1135" s="311">
        <v>76845</v>
      </c>
      <c r="F1135" s="312">
        <v>0.25</v>
      </c>
      <c r="G1135" s="312">
        <v>0.25</v>
      </c>
      <c r="H1135" s="312" t="s">
        <v>322</v>
      </c>
      <c r="I1135" s="312">
        <v>0.16</v>
      </c>
      <c r="J1135" s="313">
        <v>0.1</v>
      </c>
    </row>
    <row r="1136" spans="1:10" ht="17.25" thickBot="1" x14ac:dyDescent="0.35">
      <c r="A1136" s="314" t="s">
        <v>1362</v>
      </c>
      <c r="B1136" s="315">
        <f t="shared" si="51"/>
        <v>0</v>
      </c>
      <c r="C1136" s="315" t="str">
        <f t="shared" si="52"/>
        <v>Valle</v>
      </c>
      <c r="D1136" s="315" t="str">
        <f t="shared" si="53"/>
        <v>Versalles, Valle</v>
      </c>
      <c r="E1136" s="311">
        <v>76863</v>
      </c>
      <c r="F1136" s="312">
        <v>0.3</v>
      </c>
      <c r="G1136" s="312">
        <v>0.3</v>
      </c>
      <c r="H1136" s="312" t="s">
        <v>322</v>
      </c>
      <c r="I1136" s="312">
        <v>0.16</v>
      </c>
      <c r="J1136" s="313">
        <v>0.1</v>
      </c>
    </row>
    <row r="1137" spans="1:10" ht="17.25" thickBot="1" x14ac:dyDescent="0.35">
      <c r="A1137" s="314" t="s">
        <v>1363</v>
      </c>
      <c r="B1137" s="315">
        <f t="shared" si="51"/>
        <v>0</v>
      </c>
      <c r="C1137" s="315" t="str">
        <f t="shared" si="52"/>
        <v>Valle</v>
      </c>
      <c r="D1137" s="315" t="str">
        <f t="shared" si="53"/>
        <v>Vijes, Valle</v>
      </c>
      <c r="E1137" s="311">
        <v>76869</v>
      </c>
      <c r="F1137" s="312">
        <v>0.25</v>
      </c>
      <c r="G1137" s="312">
        <v>0.25</v>
      </c>
      <c r="H1137" s="312" t="s">
        <v>322</v>
      </c>
      <c r="I1137" s="312">
        <v>0.16</v>
      </c>
      <c r="J1137" s="313">
        <v>0.1</v>
      </c>
    </row>
    <row r="1138" spans="1:10" ht="17.25" thickBot="1" x14ac:dyDescent="0.35">
      <c r="A1138" s="314" t="s">
        <v>1364</v>
      </c>
      <c r="B1138" s="315">
        <f t="shared" si="51"/>
        <v>0</v>
      </c>
      <c r="C1138" s="315" t="str">
        <f t="shared" si="52"/>
        <v>Valle</v>
      </c>
      <c r="D1138" s="315" t="str">
        <f t="shared" si="53"/>
        <v>Yotocó, Valle</v>
      </c>
      <c r="E1138" s="311">
        <v>76890</v>
      </c>
      <c r="F1138" s="312">
        <v>0.25</v>
      </c>
      <c r="G1138" s="312">
        <v>0.25</v>
      </c>
      <c r="H1138" s="312" t="s">
        <v>322</v>
      </c>
      <c r="I1138" s="312">
        <v>0.16</v>
      </c>
      <c r="J1138" s="313">
        <v>0.1</v>
      </c>
    </row>
    <row r="1139" spans="1:10" ht="17.25" thickBot="1" x14ac:dyDescent="0.35">
      <c r="A1139" s="314" t="s">
        <v>1365</v>
      </c>
      <c r="B1139" s="315">
        <f t="shared" si="51"/>
        <v>0</v>
      </c>
      <c r="C1139" s="315" t="str">
        <f t="shared" si="52"/>
        <v>Valle</v>
      </c>
      <c r="D1139" s="315" t="str">
        <f t="shared" si="53"/>
        <v>Yumbo, Valle</v>
      </c>
      <c r="E1139" s="311">
        <v>76892</v>
      </c>
      <c r="F1139" s="312">
        <v>0.25</v>
      </c>
      <c r="G1139" s="312">
        <v>0.25</v>
      </c>
      <c r="H1139" s="312" t="s">
        <v>322</v>
      </c>
      <c r="I1139" s="312">
        <v>0.16</v>
      </c>
      <c r="J1139" s="313">
        <v>0.1</v>
      </c>
    </row>
    <row r="1140" spans="1:10" ht="17.25" thickBot="1" x14ac:dyDescent="0.35">
      <c r="A1140" s="314" t="s">
        <v>1366</v>
      </c>
      <c r="B1140" s="315">
        <f t="shared" si="51"/>
        <v>0</v>
      </c>
      <c r="C1140" s="315" t="str">
        <f t="shared" si="52"/>
        <v>Valle</v>
      </c>
      <c r="D1140" s="315" t="str">
        <f t="shared" si="53"/>
        <v>Zarzal, Valle</v>
      </c>
      <c r="E1140" s="311">
        <v>76895</v>
      </c>
      <c r="F1140" s="312">
        <v>0.25</v>
      </c>
      <c r="G1140" s="312">
        <v>0.25</v>
      </c>
      <c r="H1140" s="312" t="s">
        <v>322</v>
      </c>
      <c r="I1140" s="312">
        <v>0.14000000000000001</v>
      </c>
      <c r="J1140" s="313">
        <v>0.1</v>
      </c>
    </row>
    <row r="1141" spans="1:10" ht="17.25" thickBot="1" x14ac:dyDescent="0.35">
      <c r="A1141" s="299" t="s">
        <v>1367</v>
      </c>
      <c r="B1141" s="300">
        <f t="shared" si="51"/>
        <v>1</v>
      </c>
      <c r="C1141" s="300" t="str">
        <f t="shared" si="52"/>
        <v>Vaupés</v>
      </c>
      <c r="D1141" s="300" t="str">
        <f t="shared" si="53"/>
        <v/>
      </c>
      <c r="E1141" s="301"/>
      <c r="F1141" s="302"/>
      <c r="G1141" s="302"/>
      <c r="H1141" s="302"/>
      <c r="I1141" s="302"/>
      <c r="J1141" s="303"/>
    </row>
    <row r="1142" spans="1:10" ht="17.25" thickBot="1" x14ac:dyDescent="0.35">
      <c r="A1142" s="309" t="s">
        <v>1368</v>
      </c>
      <c r="B1142" s="310">
        <f t="shared" si="51"/>
        <v>0</v>
      </c>
      <c r="C1142" s="310" t="str">
        <f t="shared" si="52"/>
        <v>Vaupés</v>
      </c>
      <c r="D1142" s="310" t="str">
        <f t="shared" si="53"/>
        <v>Mitú, Vaupés</v>
      </c>
      <c r="E1142" s="311">
        <v>97001</v>
      </c>
      <c r="F1142" s="312">
        <v>0.05</v>
      </c>
      <c r="G1142" s="312">
        <v>0.05</v>
      </c>
      <c r="H1142" s="312" t="s">
        <v>295</v>
      </c>
      <c r="I1142" s="312">
        <v>0.04</v>
      </c>
      <c r="J1142" s="313">
        <v>0.02</v>
      </c>
    </row>
    <row r="1143" spans="1:10" ht="17.25" thickBot="1" x14ac:dyDescent="0.35">
      <c r="A1143" s="314" t="s">
        <v>1369</v>
      </c>
      <c r="B1143" s="315">
        <f t="shared" si="51"/>
        <v>0</v>
      </c>
      <c r="C1143" s="315" t="str">
        <f t="shared" si="52"/>
        <v>Vaupés</v>
      </c>
      <c r="D1143" s="315" t="str">
        <f t="shared" si="53"/>
        <v>Carurú, Vaupés</v>
      </c>
      <c r="E1143" s="311">
        <v>97161</v>
      </c>
      <c r="F1143" s="312">
        <v>0.05</v>
      </c>
      <c r="G1143" s="312">
        <v>0.05</v>
      </c>
      <c r="H1143" s="312" t="s">
        <v>295</v>
      </c>
      <c r="I1143" s="312">
        <v>0.04</v>
      </c>
      <c r="J1143" s="313">
        <v>0.02</v>
      </c>
    </row>
    <row r="1144" spans="1:10" ht="17.25" thickBot="1" x14ac:dyDescent="0.35">
      <c r="A1144" s="314" t="s">
        <v>1370</v>
      </c>
      <c r="B1144" s="315">
        <f t="shared" si="51"/>
        <v>0</v>
      </c>
      <c r="C1144" s="315" t="str">
        <f t="shared" si="52"/>
        <v>Vaupés</v>
      </c>
      <c r="D1144" s="315" t="str">
        <f t="shared" si="53"/>
        <v>Pacoa, Vaupés</v>
      </c>
      <c r="E1144" s="311">
        <v>97511</v>
      </c>
      <c r="F1144" s="312">
        <v>0.05</v>
      </c>
      <c r="G1144" s="312">
        <v>0.05</v>
      </c>
      <c r="H1144" s="312" t="s">
        <v>295</v>
      </c>
      <c r="I1144" s="312">
        <v>0.04</v>
      </c>
      <c r="J1144" s="313">
        <v>0.02</v>
      </c>
    </row>
    <row r="1145" spans="1:10" ht="17.25" thickBot="1" x14ac:dyDescent="0.35">
      <c r="A1145" s="314" t="s">
        <v>1371</v>
      </c>
      <c r="B1145" s="315">
        <f t="shared" si="51"/>
        <v>0</v>
      </c>
      <c r="C1145" s="315" t="str">
        <f t="shared" si="52"/>
        <v>Vaupés</v>
      </c>
      <c r="D1145" s="315" t="str">
        <f t="shared" si="53"/>
        <v>Papunahua, Vaupés</v>
      </c>
      <c r="E1145" s="311">
        <v>97777</v>
      </c>
      <c r="F1145" s="312">
        <v>0.05</v>
      </c>
      <c r="G1145" s="312">
        <v>0.05</v>
      </c>
      <c r="H1145" s="312" t="s">
        <v>295</v>
      </c>
      <c r="I1145" s="312">
        <v>0.04</v>
      </c>
      <c r="J1145" s="313">
        <v>0.02</v>
      </c>
    </row>
    <row r="1146" spans="1:10" ht="17.25" thickBot="1" x14ac:dyDescent="0.35">
      <c r="A1146" s="314" t="s">
        <v>1372</v>
      </c>
      <c r="B1146" s="315">
        <f t="shared" si="51"/>
        <v>0</v>
      </c>
      <c r="C1146" s="315" t="str">
        <f t="shared" si="52"/>
        <v>Vaupés</v>
      </c>
      <c r="D1146" s="315" t="str">
        <f t="shared" si="53"/>
        <v>Taraira, Vaupés</v>
      </c>
      <c r="E1146" s="311">
        <v>97666</v>
      </c>
      <c r="F1146" s="312">
        <v>0.05</v>
      </c>
      <c r="G1146" s="312">
        <v>0.05</v>
      </c>
      <c r="H1146" s="312" t="s">
        <v>295</v>
      </c>
      <c r="I1146" s="312">
        <v>0.04</v>
      </c>
      <c r="J1146" s="313">
        <v>0.02</v>
      </c>
    </row>
    <row r="1147" spans="1:10" ht="17.25" thickBot="1" x14ac:dyDescent="0.35">
      <c r="A1147" s="314" t="s">
        <v>1373</v>
      </c>
      <c r="B1147" s="315">
        <f t="shared" si="51"/>
        <v>0</v>
      </c>
      <c r="C1147" s="315" t="str">
        <f t="shared" si="52"/>
        <v>Vaupés</v>
      </c>
      <c r="D1147" s="315" t="str">
        <f t="shared" si="53"/>
        <v>Yavarate, Vaupés</v>
      </c>
      <c r="E1147" s="311">
        <v>97889</v>
      </c>
      <c r="F1147" s="312">
        <v>0.05</v>
      </c>
      <c r="G1147" s="312">
        <v>0.05</v>
      </c>
      <c r="H1147" s="312" t="s">
        <v>295</v>
      </c>
      <c r="I1147" s="312">
        <v>0.04</v>
      </c>
      <c r="J1147" s="313">
        <v>0.02</v>
      </c>
    </row>
    <row r="1148" spans="1:10" ht="17.25" thickBot="1" x14ac:dyDescent="0.35">
      <c r="A1148" s="299" t="s">
        <v>1374</v>
      </c>
      <c r="B1148" s="300">
        <f t="shared" si="51"/>
        <v>1</v>
      </c>
      <c r="C1148" s="300" t="str">
        <f t="shared" si="52"/>
        <v>Vichada</v>
      </c>
      <c r="D1148" s="300" t="str">
        <f t="shared" si="53"/>
        <v/>
      </c>
      <c r="E1148" s="301"/>
      <c r="F1148" s="302"/>
      <c r="G1148" s="302"/>
      <c r="H1148" s="302"/>
      <c r="I1148" s="302"/>
      <c r="J1148" s="303"/>
    </row>
    <row r="1149" spans="1:10" ht="17.25" thickBot="1" x14ac:dyDescent="0.35">
      <c r="A1149" s="309" t="s">
        <v>1375</v>
      </c>
      <c r="B1149" s="310">
        <f t="shared" si="51"/>
        <v>0</v>
      </c>
      <c r="C1149" s="310" t="str">
        <f t="shared" si="52"/>
        <v>Vichada</v>
      </c>
      <c r="D1149" s="310" t="str">
        <f t="shared" si="53"/>
        <v>Puerto Carreño, Vichada</v>
      </c>
      <c r="E1149" s="311">
        <v>99001</v>
      </c>
      <c r="F1149" s="312">
        <v>0.05</v>
      </c>
      <c r="G1149" s="312">
        <v>0.05</v>
      </c>
      <c r="H1149" s="312" t="s">
        <v>295</v>
      </c>
      <c r="I1149" s="312">
        <v>0.04</v>
      </c>
      <c r="J1149" s="313">
        <v>0.02</v>
      </c>
    </row>
    <row r="1150" spans="1:10" ht="17.25" thickBot="1" x14ac:dyDescent="0.35">
      <c r="A1150" s="314" t="s">
        <v>1376</v>
      </c>
      <c r="B1150" s="315">
        <f t="shared" si="51"/>
        <v>0</v>
      </c>
      <c r="C1150" s="315" t="str">
        <f t="shared" si="52"/>
        <v>Vichada</v>
      </c>
      <c r="D1150" s="315" t="str">
        <f t="shared" si="53"/>
        <v>Cumaribo, Vichada</v>
      </c>
      <c r="E1150" s="311">
        <v>99773</v>
      </c>
      <c r="F1150" s="312">
        <v>0.05</v>
      </c>
      <c r="G1150" s="312">
        <v>0.05</v>
      </c>
      <c r="H1150" s="312" t="s">
        <v>295</v>
      </c>
      <c r="I1150" s="312">
        <v>0.04</v>
      </c>
      <c r="J1150" s="313">
        <v>0.02</v>
      </c>
    </row>
    <row r="1151" spans="1:10" ht="17.25" thickBot="1" x14ac:dyDescent="0.35">
      <c r="A1151" s="314" t="s">
        <v>1377</v>
      </c>
      <c r="B1151" s="315">
        <f t="shared" si="51"/>
        <v>0</v>
      </c>
      <c r="C1151" s="315" t="str">
        <f t="shared" si="52"/>
        <v>Vichada</v>
      </c>
      <c r="D1151" s="315" t="str">
        <f t="shared" si="53"/>
        <v>La Primavera, Vichada</v>
      </c>
      <c r="E1151" s="311">
        <v>99524</v>
      </c>
      <c r="F1151" s="312">
        <v>0.05</v>
      </c>
      <c r="G1151" s="312">
        <v>0.05</v>
      </c>
      <c r="H1151" s="312" t="s">
        <v>295</v>
      </c>
      <c r="I1151" s="312">
        <v>0.04</v>
      </c>
      <c r="J1151" s="313">
        <v>0.02</v>
      </c>
    </row>
    <row r="1152" spans="1:10" ht="17.25" thickBot="1" x14ac:dyDescent="0.35">
      <c r="A1152" s="316" t="s">
        <v>1378</v>
      </c>
      <c r="B1152" s="317">
        <f t="shared" si="51"/>
        <v>0</v>
      </c>
      <c r="C1152" s="317" t="str">
        <f t="shared" si="52"/>
        <v>Vichada</v>
      </c>
      <c r="D1152" s="317" t="str">
        <f t="shared" si="53"/>
        <v>Santa Rosalía, Vichada</v>
      </c>
      <c r="E1152" s="318">
        <v>99624</v>
      </c>
      <c r="F1152" s="319">
        <v>0.05</v>
      </c>
      <c r="G1152" s="319">
        <v>0.05</v>
      </c>
      <c r="H1152" s="319" t="s">
        <v>295</v>
      </c>
      <c r="I1152" s="319">
        <v>0.04</v>
      </c>
      <c r="J1152" s="320">
        <v>0.02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4CAE-063D-4893-A542-28E57A15220F}">
  <sheetPr>
    <tabColor rgb="FF00B050"/>
  </sheetPr>
  <dimension ref="A1:L84"/>
  <sheetViews>
    <sheetView showGridLines="0" tabSelected="1" workbookViewId="0">
      <pane xSplit="1" ySplit="2" topLeftCell="B3" activePane="bottomRight" state="frozen"/>
      <selection activeCell="G3" sqref="G3"/>
      <selection pane="topRight" activeCell="G3" sqref="G3"/>
      <selection pane="bottomLeft" activeCell="G3" sqref="G3"/>
      <selection pane="bottomRight" activeCell="B3" sqref="B3"/>
    </sheetView>
  </sheetViews>
  <sheetFormatPr baseColWidth="10" defaultRowHeight="15" x14ac:dyDescent="0.25"/>
  <cols>
    <col min="8" max="8" width="35.7109375" bestFit="1" customWidth="1"/>
  </cols>
  <sheetData>
    <row r="1" spans="1:8" ht="20.25" thickBot="1" x14ac:dyDescent="0.35">
      <c r="A1" s="42" t="s">
        <v>88</v>
      </c>
    </row>
    <row r="2" spans="1:8" ht="45.75" thickTop="1" x14ac:dyDescent="0.25">
      <c r="A2" s="35" t="s">
        <v>89</v>
      </c>
      <c r="B2" s="35" t="s">
        <v>90</v>
      </c>
      <c r="C2" s="35" t="s">
        <v>91</v>
      </c>
      <c r="D2" s="35" t="s">
        <v>92</v>
      </c>
      <c r="E2" s="35" t="s">
        <v>93</v>
      </c>
      <c r="F2" s="35" t="s">
        <v>94</v>
      </c>
      <c r="G2" s="35" t="s">
        <v>95</v>
      </c>
      <c r="H2" s="35" t="s">
        <v>96</v>
      </c>
    </row>
    <row r="3" spans="1:8" x14ac:dyDescent="0.25">
      <c r="A3">
        <v>0.01</v>
      </c>
      <c r="B3">
        <v>200</v>
      </c>
      <c r="C3">
        <v>225</v>
      </c>
      <c r="D3">
        <v>80</v>
      </c>
      <c r="E3" s="43">
        <v>0.2039</v>
      </c>
      <c r="F3" s="43">
        <v>0.22939999999999999</v>
      </c>
      <c r="G3" s="43">
        <v>8.1600000000000006E-2</v>
      </c>
      <c r="H3" t="s">
        <v>97</v>
      </c>
    </row>
    <row r="4" spans="1:8" x14ac:dyDescent="0.25">
      <c r="A4">
        <v>1.2E-2</v>
      </c>
      <c r="B4">
        <v>195</v>
      </c>
      <c r="C4">
        <v>225</v>
      </c>
      <c r="D4">
        <v>82</v>
      </c>
      <c r="E4" s="43">
        <v>0.1988</v>
      </c>
      <c r="F4" s="43">
        <v>0.22939999999999999</v>
      </c>
      <c r="G4" s="43">
        <v>8.3599999999999994E-2</v>
      </c>
    </row>
    <row r="5" spans="1:8" x14ac:dyDescent="0.25">
      <c r="A5">
        <v>1.4999999999999999E-2</v>
      </c>
      <c r="B5">
        <v>200</v>
      </c>
      <c r="C5">
        <v>222</v>
      </c>
      <c r="D5">
        <v>82</v>
      </c>
      <c r="E5" s="43">
        <v>0.2039</v>
      </c>
      <c r="F5" s="43">
        <v>0.22639999999999999</v>
      </c>
      <c r="G5" s="43">
        <v>8.3599999999999994E-2</v>
      </c>
    </row>
    <row r="6" spans="1:8" x14ac:dyDescent="0.25">
      <c r="A6">
        <v>1.7999999999999999E-2</v>
      </c>
      <c r="B6">
        <v>208</v>
      </c>
      <c r="C6">
        <v>225</v>
      </c>
      <c r="D6">
        <v>81</v>
      </c>
      <c r="E6" s="43">
        <v>0.21210000000000001</v>
      </c>
      <c r="F6" s="43">
        <v>0.22939999999999999</v>
      </c>
      <c r="G6" s="43">
        <v>8.2600000000000007E-2</v>
      </c>
    </row>
    <row r="7" spans="1:8" x14ac:dyDescent="0.25">
      <c r="A7">
        <v>0.02</v>
      </c>
      <c r="B7">
        <v>206</v>
      </c>
      <c r="C7">
        <v>225</v>
      </c>
      <c r="D7">
        <v>85</v>
      </c>
      <c r="E7" s="43">
        <v>0.21010000000000001</v>
      </c>
      <c r="F7" s="43">
        <v>0.22939999999999999</v>
      </c>
      <c r="G7" s="43">
        <v>8.6699999999999999E-2</v>
      </c>
    </row>
    <row r="8" spans="1:8" x14ac:dyDescent="0.25">
      <c r="A8">
        <v>2.5000000000000001E-2</v>
      </c>
      <c r="B8">
        <v>208</v>
      </c>
      <c r="C8">
        <v>223</v>
      </c>
      <c r="D8">
        <v>89</v>
      </c>
      <c r="E8" s="43">
        <v>0.21210000000000001</v>
      </c>
      <c r="F8" s="43">
        <v>0.22739999999999999</v>
      </c>
      <c r="G8" s="43">
        <v>9.0800000000000006E-2</v>
      </c>
    </row>
    <row r="9" spans="1:8" x14ac:dyDescent="0.25">
      <c r="A9">
        <v>0.03</v>
      </c>
      <c r="B9">
        <v>208</v>
      </c>
      <c r="C9">
        <v>222</v>
      </c>
      <c r="D9">
        <v>88</v>
      </c>
      <c r="E9" s="43">
        <v>0.21210000000000001</v>
      </c>
      <c r="F9" s="43">
        <v>0.22639999999999999</v>
      </c>
      <c r="G9" s="43">
        <v>8.9700000000000002E-2</v>
      </c>
    </row>
    <row r="10" spans="1:8" x14ac:dyDescent="0.25">
      <c r="A10">
        <v>3.5000000000000003E-2</v>
      </c>
      <c r="B10">
        <v>195</v>
      </c>
      <c r="C10">
        <v>228</v>
      </c>
      <c r="D10">
        <v>93</v>
      </c>
      <c r="E10" s="43">
        <v>0.1988</v>
      </c>
      <c r="F10" s="43">
        <v>0.23250000000000001</v>
      </c>
      <c r="G10" s="43">
        <v>9.4799999999999995E-2</v>
      </c>
      <c r="H10" t="s">
        <v>98</v>
      </c>
    </row>
    <row r="11" spans="1:8" x14ac:dyDescent="0.25">
      <c r="A11">
        <v>0.04</v>
      </c>
      <c r="B11">
        <v>197</v>
      </c>
      <c r="C11">
        <v>232</v>
      </c>
      <c r="D11">
        <v>100</v>
      </c>
      <c r="E11" s="43">
        <v>0.2009</v>
      </c>
      <c r="F11" s="43">
        <v>0.2366</v>
      </c>
      <c r="G11" s="43">
        <v>0.10199999999999999</v>
      </c>
      <c r="H11" t="s">
        <v>99</v>
      </c>
    </row>
    <row r="12" spans="1:8" x14ac:dyDescent="0.25">
      <c r="A12">
        <v>4.4999999999999998E-2</v>
      </c>
      <c r="B12">
        <v>208</v>
      </c>
      <c r="C12">
        <v>238</v>
      </c>
      <c r="D12">
        <v>120</v>
      </c>
      <c r="E12" s="43">
        <v>0.21210000000000001</v>
      </c>
      <c r="F12" s="43">
        <v>0.2427</v>
      </c>
      <c r="G12" s="43">
        <v>0.12239999999999999</v>
      </c>
    </row>
    <row r="13" spans="1:8" x14ac:dyDescent="0.25">
      <c r="A13">
        <v>0.05</v>
      </c>
      <c r="B13">
        <v>208</v>
      </c>
      <c r="C13">
        <v>234</v>
      </c>
      <c r="D13">
        <v>160</v>
      </c>
      <c r="E13" s="43">
        <v>0.21210000000000001</v>
      </c>
      <c r="F13" s="43">
        <v>0.23860000000000001</v>
      </c>
      <c r="G13" s="43">
        <v>0.16320000000000001</v>
      </c>
    </row>
    <row r="14" spans="1:8" x14ac:dyDescent="0.25">
      <c r="A14">
        <v>5.5E-2</v>
      </c>
      <c r="B14">
        <v>205</v>
      </c>
      <c r="C14">
        <v>238</v>
      </c>
      <c r="D14">
        <v>210</v>
      </c>
      <c r="E14" s="43">
        <v>0.20899999999999999</v>
      </c>
      <c r="F14" s="43">
        <v>0.2427</v>
      </c>
      <c r="G14" s="43">
        <v>0.21410000000000001</v>
      </c>
    </row>
    <row r="15" spans="1:8" x14ac:dyDescent="0.25">
      <c r="A15">
        <v>0.06</v>
      </c>
      <c r="B15">
        <v>215</v>
      </c>
      <c r="C15">
        <v>250</v>
      </c>
      <c r="D15">
        <v>230</v>
      </c>
      <c r="E15" s="43">
        <v>0.21920000000000001</v>
      </c>
      <c r="F15" s="43">
        <v>0.25490000000000002</v>
      </c>
      <c r="G15" s="43">
        <v>0.23449999999999999</v>
      </c>
    </row>
    <row r="16" spans="1:8" x14ac:dyDescent="0.25">
      <c r="A16">
        <v>6.5000000000000002E-2</v>
      </c>
      <c r="B16">
        <v>212</v>
      </c>
      <c r="C16">
        <v>240</v>
      </c>
      <c r="D16">
        <v>300</v>
      </c>
      <c r="E16" s="43">
        <v>0.2162</v>
      </c>
      <c r="F16" s="43">
        <v>0.2447</v>
      </c>
      <c r="G16" s="43">
        <v>0.30590000000000001</v>
      </c>
      <c r="H16" t="s">
        <v>100</v>
      </c>
    </row>
    <row r="17" spans="1:12" x14ac:dyDescent="0.25">
      <c r="A17">
        <v>7.0000000000000007E-2</v>
      </c>
      <c r="B17">
        <v>220</v>
      </c>
      <c r="C17">
        <v>240</v>
      </c>
      <c r="D17">
        <v>280</v>
      </c>
      <c r="E17" s="43">
        <v>0.2243</v>
      </c>
      <c r="F17" s="43">
        <v>0.2447</v>
      </c>
      <c r="G17" s="43">
        <v>0.28549999999999998</v>
      </c>
    </row>
    <row r="18" spans="1:12" x14ac:dyDescent="0.25">
      <c r="A18">
        <v>7.4999999999999997E-2</v>
      </c>
      <c r="B18">
        <v>230</v>
      </c>
      <c r="C18">
        <v>260</v>
      </c>
      <c r="D18">
        <v>200</v>
      </c>
      <c r="E18" s="43">
        <v>0.23449999999999999</v>
      </c>
      <c r="F18" s="43">
        <v>0.2651</v>
      </c>
      <c r="G18" s="43">
        <v>0.2039</v>
      </c>
    </row>
    <row r="19" spans="1:12" x14ac:dyDescent="0.25">
      <c r="A19">
        <v>0.08</v>
      </c>
      <c r="B19">
        <v>240</v>
      </c>
      <c r="C19">
        <v>265</v>
      </c>
      <c r="D19">
        <v>235</v>
      </c>
      <c r="E19" s="43">
        <v>0.2447</v>
      </c>
      <c r="F19" s="43">
        <v>0.2702</v>
      </c>
      <c r="G19" s="43">
        <v>0.23960000000000001</v>
      </c>
    </row>
    <row r="20" spans="1:12" x14ac:dyDescent="0.25">
      <c r="A20">
        <v>8.5000000000000006E-2</v>
      </c>
      <c r="B20">
        <v>245</v>
      </c>
      <c r="C20">
        <v>265</v>
      </c>
      <c r="D20">
        <v>245</v>
      </c>
      <c r="E20" s="43">
        <v>0.24979999999999999</v>
      </c>
      <c r="F20" s="43">
        <v>0.2702</v>
      </c>
      <c r="G20" s="43">
        <v>0.24979999999999999</v>
      </c>
    </row>
    <row r="21" spans="1:12" x14ac:dyDescent="0.25">
      <c r="A21">
        <v>0.09</v>
      </c>
      <c r="B21">
        <v>250</v>
      </c>
      <c r="C21">
        <v>270</v>
      </c>
      <c r="D21">
        <v>200</v>
      </c>
      <c r="E21" s="43">
        <v>0.25490000000000002</v>
      </c>
      <c r="F21" s="43">
        <v>0.27529999999999999</v>
      </c>
      <c r="G21" s="43">
        <v>0.2039</v>
      </c>
    </row>
    <row r="22" spans="1:12" x14ac:dyDescent="0.25">
      <c r="A22">
        <v>9.5000000000000001E-2</v>
      </c>
      <c r="B22">
        <v>250</v>
      </c>
      <c r="C22">
        <v>270</v>
      </c>
      <c r="D22">
        <v>180</v>
      </c>
      <c r="E22" s="43">
        <v>0.25490000000000002</v>
      </c>
      <c r="F22" s="43">
        <v>0.27529999999999999</v>
      </c>
      <c r="G22" s="43">
        <v>0.1835</v>
      </c>
    </row>
    <row r="23" spans="1:12" x14ac:dyDescent="0.25">
      <c r="A23">
        <v>0.1</v>
      </c>
      <c r="B23">
        <v>300</v>
      </c>
      <c r="C23">
        <v>320</v>
      </c>
      <c r="D23">
        <v>155</v>
      </c>
      <c r="E23" s="43">
        <v>0.30590000000000001</v>
      </c>
      <c r="F23" s="43">
        <v>0.32629999999999998</v>
      </c>
      <c r="G23" s="43">
        <v>0.15809999999999999</v>
      </c>
      <c r="H23" t="s">
        <v>101</v>
      </c>
    </row>
    <row r="24" spans="1:12" x14ac:dyDescent="0.25">
      <c r="A24">
        <v>0.105</v>
      </c>
      <c r="B24">
        <v>335</v>
      </c>
      <c r="C24">
        <v>400</v>
      </c>
      <c r="D24">
        <v>170</v>
      </c>
      <c r="E24" s="43">
        <v>0.34160000000000001</v>
      </c>
      <c r="F24" s="43">
        <v>0.40789999999999998</v>
      </c>
      <c r="G24" s="43">
        <v>0.17330000000000001</v>
      </c>
    </row>
    <row r="25" spans="1:12" x14ac:dyDescent="0.25">
      <c r="A25">
        <v>0.11</v>
      </c>
      <c r="B25">
        <v>360</v>
      </c>
      <c r="C25">
        <v>480</v>
      </c>
      <c r="D25">
        <v>190</v>
      </c>
      <c r="E25" s="43">
        <v>0.36709999999999998</v>
      </c>
      <c r="F25" s="43">
        <v>0.48949999999999999</v>
      </c>
      <c r="G25" s="43">
        <v>0.19370000000000001</v>
      </c>
      <c r="I25" s="18" t="s">
        <v>102</v>
      </c>
    </row>
    <row r="26" spans="1:12" x14ac:dyDescent="0.25">
      <c r="A26">
        <v>0.115</v>
      </c>
      <c r="B26">
        <v>385</v>
      </c>
      <c r="C26">
        <v>580</v>
      </c>
      <c r="D26">
        <v>203</v>
      </c>
      <c r="E26" s="43">
        <v>0.3926</v>
      </c>
      <c r="F26" s="43">
        <v>0.59140000000000004</v>
      </c>
      <c r="G26" s="43">
        <v>0.20699999999999999</v>
      </c>
      <c r="I26" s="44"/>
      <c r="J26" s="45" t="s">
        <v>103</v>
      </c>
      <c r="K26" s="45" t="s">
        <v>104</v>
      </c>
      <c r="L26" s="45" t="s">
        <v>105</v>
      </c>
    </row>
    <row r="27" spans="1:12" x14ac:dyDescent="0.25">
      <c r="A27">
        <v>0.12</v>
      </c>
      <c r="B27">
        <v>395</v>
      </c>
      <c r="C27">
        <v>598</v>
      </c>
      <c r="D27">
        <v>195</v>
      </c>
      <c r="E27" s="43">
        <v>0.40279999999999999</v>
      </c>
      <c r="F27" s="43">
        <v>0.60980000000000001</v>
      </c>
      <c r="G27" s="43">
        <v>0.1988</v>
      </c>
      <c r="H27" t="s">
        <v>106</v>
      </c>
      <c r="I27" s="46" t="s">
        <v>107</v>
      </c>
      <c r="J27" s="47">
        <f>MAX(E3:E81)</f>
        <v>0.84640000000000004</v>
      </c>
      <c r="K27" s="47">
        <f>MAX(F3:F81)</f>
        <v>0.90759999999999996</v>
      </c>
      <c r="L27" s="47">
        <f>MAX(G3:G81)</f>
        <v>0.30590000000000001</v>
      </c>
    </row>
    <row r="28" spans="1:12" x14ac:dyDescent="0.25">
      <c r="A28">
        <v>0.125</v>
      </c>
      <c r="B28">
        <v>425</v>
      </c>
      <c r="C28">
        <v>520</v>
      </c>
      <c r="D28">
        <v>180</v>
      </c>
      <c r="E28" s="43">
        <v>0.43340000000000001</v>
      </c>
      <c r="F28" s="43">
        <v>0.53029999999999999</v>
      </c>
      <c r="G28" s="43">
        <v>0.1835</v>
      </c>
      <c r="I28" s="46" t="s">
        <v>108</v>
      </c>
      <c r="J28" s="44">
        <f>INDEX($A$3:$A$81,MATCH(J27,E$3:E$81,0))</f>
        <v>0.52</v>
      </c>
      <c r="K28" s="44">
        <f>INDEX($A$3:$A$81,MATCH(K27,F$3:F$81,0))</f>
        <v>0.52</v>
      </c>
      <c r="L28" s="44">
        <f>INDEX($A$3:$A$81,MATCH(L27,G$3:G$81,0))</f>
        <v>6.5000000000000002E-2</v>
      </c>
    </row>
    <row r="29" spans="1:12" x14ac:dyDescent="0.25">
      <c r="A29">
        <v>0.13</v>
      </c>
      <c r="B29">
        <v>475</v>
      </c>
      <c r="C29">
        <v>450</v>
      </c>
      <c r="D29">
        <v>175</v>
      </c>
      <c r="E29" s="43">
        <v>0.4844</v>
      </c>
      <c r="F29" s="43">
        <v>0.45889999999999997</v>
      </c>
      <c r="G29" s="43">
        <v>0.1784</v>
      </c>
      <c r="H29" t="s">
        <v>109</v>
      </c>
    </row>
    <row r="30" spans="1:12" x14ac:dyDescent="0.25">
      <c r="A30">
        <v>0.13500000000000001</v>
      </c>
      <c r="B30">
        <v>480</v>
      </c>
      <c r="C30">
        <v>490</v>
      </c>
      <c r="D30">
        <v>170</v>
      </c>
      <c r="E30" s="43">
        <v>0.48949999999999999</v>
      </c>
      <c r="F30" s="43">
        <v>0.49969999999999998</v>
      </c>
      <c r="G30" s="43">
        <v>0.17330000000000001</v>
      </c>
    </row>
    <row r="31" spans="1:12" x14ac:dyDescent="0.25">
      <c r="A31">
        <v>0.14000000000000001</v>
      </c>
      <c r="B31">
        <v>495</v>
      </c>
      <c r="C31">
        <v>530</v>
      </c>
      <c r="D31">
        <v>162</v>
      </c>
      <c r="E31" s="43">
        <v>0.50480000000000003</v>
      </c>
      <c r="F31" s="43">
        <v>0.54039999999999999</v>
      </c>
      <c r="G31" s="43">
        <v>0.16520000000000001</v>
      </c>
    </row>
    <row r="32" spans="1:12" x14ac:dyDescent="0.25">
      <c r="A32">
        <v>0.14499999999999999</v>
      </c>
      <c r="B32">
        <v>490</v>
      </c>
      <c r="C32">
        <v>528</v>
      </c>
      <c r="D32">
        <v>200</v>
      </c>
      <c r="E32" s="43">
        <v>0.49969999999999998</v>
      </c>
      <c r="F32" s="43">
        <v>0.53839999999999999</v>
      </c>
      <c r="G32" s="43">
        <v>0.2039</v>
      </c>
    </row>
    <row r="33" spans="1:8" x14ac:dyDescent="0.25">
      <c r="A33">
        <v>0.15</v>
      </c>
      <c r="B33">
        <v>500</v>
      </c>
      <c r="C33">
        <v>518</v>
      </c>
      <c r="D33">
        <v>222</v>
      </c>
      <c r="E33" s="43">
        <v>0.50990000000000002</v>
      </c>
      <c r="F33" s="43">
        <v>0.5282</v>
      </c>
      <c r="G33" s="43">
        <v>0.22639999999999999</v>
      </c>
      <c r="H33" t="s">
        <v>110</v>
      </c>
    </row>
    <row r="34" spans="1:8" x14ac:dyDescent="0.25">
      <c r="A34">
        <v>0.16</v>
      </c>
      <c r="B34">
        <v>480</v>
      </c>
      <c r="C34">
        <v>480</v>
      </c>
      <c r="D34">
        <v>210</v>
      </c>
      <c r="E34" s="43">
        <v>0.48949999999999999</v>
      </c>
      <c r="F34" s="43">
        <v>0.48949999999999999</v>
      </c>
      <c r="G34" s="43">
        <v>0.21410000000000001</v>
      </c>
    </row>
    <row r="35" spans="1:8" x14ac:dyDescent="0.25">
      <c r="A35">
        <v>0.17</v>
      </c>
      <c r="B35">
        <v>510</v>
      </c>
      <c r="C35">
        <v>500</v>
      </c>
      <c r="D35">
        <v>185</v>
      </c>
      <c r="E35" s="43">
        <v>0.52010000000000001</v>
      </c>
      <c r="F35" s="43">
        <v>0.50990000000000002</v>
      </c>
      <c r="G35" s="43">
        <v>0.18859999999999999</v>
      </c>
    </row>
    <row r="36" spans="1:8" x14ac:dyDescent="0.25">
      <c r="A36">
        <v>0.18</v>
      </c>
      <c r="B36">
        <v>500</v>
      </c>
      <c r="C36">
        <v>600</v>
      </c>
      <c r="D36">
        <v>195</v>
      </c>
      <c r="E36" s="43">
        <v>0.50990000000000002</v>
      </c>
      <c r="F36" s="43">
        <v>0.61180000000000001</v>
      </c>
      <c r="G36" s="43">
        <v>0.1988</v>
      </c>
    </row>
    <row r="37" spans="1:8" x14ac:dyDescent="0.25">
      <c r="A37">
        <v>0.19</v>
      </c>
      <c r="B37">
        <v>535</v>
      </c>
      <c r="C37">
        <v>692</v>
      </c>
      <c r="D37">
        <v>215</v>
      </c>
      <c r="E37" s="43">
        <v>0.54549999999999998</v>
      </c>
      <c r="F37" s="43">
        <v>0.7056</v>
      </c>
      <c r="G37" s="43">
        <v>0.21920000000000001</v>
      </c>
    </row>
    <row r="38" spans="1:8" x14ac:dyDescent="0.25">
      <c r="A38">
        <v>0.2</v>
      </c>
      <c r="B38">
        <v>500</v>
      </c>
      <c r="C38">
        <v>630</v>
      </c>
      <c r="D38">
        <v>260</v>
      </c>
      <c r="E38" s="43">
        <v>0.50990000000000002</v>
      </c>
      <c r="F38" s="43">
        <v>0.64239999999999997</v>
      </c>
      <c r="G38" s="43">
        <v>0.2651</v>
      </c>
      <c r="H38" t="s">
        <v>111</v>
      </c>
    </row>
    <row r="39" spans="1:8" x14ac:dyDescent="0.25">
      <c r="A39">
        <v>0.21</v>
      </c>
      <c r="B39">
        <v>515</v>
      </c>
      <c r="C39">
        <v>643</v>
      </c>
      <c r="D39">
        <v>275</v>
      </c>
      <c r="E39" s="43">
        <v>0.5252</v>
      </c>
      <c r="F39" s="43">
        <v>0.65569999999999995</v>
      </c>
      <c r="G39" s="43">
        <v>0.28039999999999998</v>
      </c>
    </row>
    <row r="40" spans="1:8" x14ac:dyDescent="0.25">
      <c r="A40">
        <v>0.22</v>
      </c>
      <c r="B40">
        <v>480</v>
      </c>
      <c r="C40">
        <v>570</v>
      </c>
      <c r="D40">
        <v>285</v>
      </c>
      <c r="E40" s="43">
        <v>0.48949999999999999</v>
      </c>
      <c r="F40" s="43">
        <v>0.58120000000000005</v>
      </c>
      <c r="G40" s="43">
        <v>0.29060000000000002</v>
      </c>
    </row>
    <row r="41" spans="1:8" x14ac:dyDescent="0.25">
      <c r="A41">
        <v>0.23</v>
      </c>
      <c r="B41">
        <v>400</v>
      </c>
      <c r="C41">
        <v>510</v>
      </c>
      <c r="D41">
        <v>290</v>
      </c>
      <c r="E41" s="43">
        <v>0.40789999999999998</v>
      </c>
      <c r="F41" s="43">
        <v>0.52010000000000001</v>
      </c>
      <c r="G41" s="43">
        <v>0.29570000000000002</v>
      </c>
      <c r="H41" t="s">
        <v>112</v>
      </c>
    </row>
    <row r="42" spans="1:8" x14ac:dyDescent="0.25">
      <c r="A42">
        <v>0.24</v>
      </c>
      <c r="B42">
        <v>350</v>
      </c>
      <c r="C42">
        <v>425</v>
      </c>
      <c r="D42">
        <v>278</v>
      </c>
      <c r="E42" s="43">
        <v>0.3569</v>
      </c>
      <c r="F42" s="43">
        <v>0.43340000000000001</v>
      </c>
      <c r="G42" s="43">
        <v>0.28349999999999997</v>
      </c>
    </row>
    <row r="43" spans="1:8" x14ac:dyDescent="0.25">
      <c r="A43">
        <v>0.25</v>
      </c>
      <c r="B43">
        <v>300</v>
      </c>
      <c r="C43">
        <v>420</v>
      </c>
      <c r="D43">
        <v>210</v>
      </c>
      <c r="E43" s="43">
        <v>0.30590000000000001</v>
      </c>
      <c r="F43" s="43">
        <v>0.42830000000000001</v>
      </c>
      <c r="G43" s="43">
        <v>0.21410000000000001</v>
      </c>
    </row>
    <row r="44" spans="1:8" x14ac:dyDescent="0.25">
      <c r="A44">
        <v>0.27</v>
      </c>
      <c r="B44">
        <v>285</v>
      </c>
      <c r="C44">
        <v>402</v>
      </c>
      <c r="D44">
        <v>190</v>
      </c>
      <c r="E44" s="43">
        <v>0.29060000000000002</v>
      </c>
      <c r="F44" s="43">
        <v>0.40989999999999999</v>
      </c>
      <c r="G44" s="43">
        <v>0.19370000000000001</v>
      </c>
      <c r="H44" t="s">
        <v>113</v>
      </c>
    </row>
    <row r="45" spans="1:8" x14ac:dyDescent="0.25">
      <c r="A45">
        <v>0.28999999999999998</v>
      </c>
      <c r="B45">
        <v>380</v>
      </c>
      <c r="C45">
        <v>520</v>
      </c>
      <c r="D45">
        <v>158</v>
      </c>
      <c r="E45" s="43">
        <v>0.38750000000000001</v>
      </c>
      <c r="F45" s="43">
        <v>0.53029999999999999</v>
      </c>
      <c r="G45" s="43">
        <v>0.16109999999999999</v>
      </c>
    </row>
    <row r="46" spans="1:8" x14ac:dyDescent="0.25">
      <c r="A46">
        <v>0.31</v>
      </c>
      <c r="B46">
        <v>455</v>
      </c>
      <c r="C46">
        <v>770</v>
      </c>
      <c r="D46">
        <v>170</v>
      </c>
      <c r="E46" s="43">
        <v>0.46400000000000002</v>
      </c>
      <c r="F46" s="43">
        <v>0.78520000000000001</v>
      </c>
      <c r="G46" s="43">
        <v>0.17330000000000001</v>
      </c>
      <c r="H46" t="s">
        <v>114</v>
      </c>
    </row>
    <row r="47" spans="1:8" x14ac:dyDescent="0.25">
      <c r="A47">
        <v>0.32</v>
      </c>
      <c r="B47">
        <v>400</v>
      </c>
      <c r="C47">
        <v>795</v>
      </c>
      <c r="D47">
        <v>178</v>
      </c>
      <c r="E47" s="43">
        <v>0.40789999999999998</v>
      </c>
      <c r="F47" s="43">
        <v>0.81069999999999998</v>
      </c>
      <c r="G47" s="43">
        <v>0.18149999999999999</v>
      </c>
      <c r="H47" t="s">
        <v>115</v>
      </c>
    </row>
    <row r="48" spans="1:8" x14ac:dyDescent="0.25">
      <c r="A48">
        <v>0.34</v>
      </c>
      <c r="B48">
        <v>315</v>
      </c>
      <c r="C48">
        <v>510</v>
      </c>
      <c r="D48">
        <v>158</v>
      </c>
      <c r="E48" s="43">
        <v>0.32119999999999999</v>
      </c>
      <c r="F48" s="43">
        <v>0.52010000000000001</v>
      </c>
      <c r="G48" s="43">
        <v>0.16109999999999999</v>
      </c>
    </row>
    <row r="49" spans="1:8" x14ac:dyDescent="0.25">
      <c r="A49">
        <v>0.36</v>
      </c>
      <c r="B49">
        <v>350</v>
      </c>
      <c r="C49">
        <v>352</v>
      </c>
      <c r="D49">
        <v>132</v>
      </c>
      <c r="E49" s="43">
        <v>0.3569</v>
      </c>
      <c r="F49" s="43">
        <v>0.3589</v>
      </c>
      <c r="G49" s="43">
        <v>0.1346</v>
      </c>
    </row>
    <row r="50" spans="1:8" x14ac:dyDescent="0.25">
      <c r="A50">
        <v>0.38</v>
      </c>
      <c r="B50">
        <v>480</v>
      </c>
      <c r="C50">
        <v>410</v>
      </c>
      <c r="D50">
        <v>106</v>
      </c>
      <c r="E50" s="43">
        <v>0.48949999999999999</v>
      </c>
      <c r="F50" s="43">
        <v>0.41810000000000003</v>
      </c>
      <c r="G50" s="43">
        <v>0.1081</v>
      </c>
      <c r="H50" t="s">
        <v>116</v>
      </c>
    </row>
    <row r="51" spans="1:8" x14ac:dyDescent="0.25">
      <c r="A51">
        <v>0.4</v>
      </c>
      <c r="B51">
        <v>450</v>
      </c>
      <c r="C51">
        <v>470</v>
      </c>
      <c r="D51">
        <v>105</v>
      </c>
      <c r="E51" s="43">
        <v>0.45889999999999997</v>
      </c>
      <c r="F51" s="43">
        <v>0.4793</v>
      </c>
      <c r="G51" s="43">
        <v>0.1071</v>
      </c>
    </row>
    <row r="52" spans="1:8" x14ac:dyDescent="0.25">
      <c r="A52">
        <v>0.43</v>
      </c>
      <c r="B52">
        <v>580</v>
      </c>
      <c r="C52">
        <v>610</v>
      </c>
      <c r="D52">
        <v>110</v>
      </c>
      <c r="E52" s="43">
        <v>0.59140000000000004</v>
      </c>
      <c r="F52" s="43">
        <v>0.622</v>
      </c>
      <c r="G52" s="43">
        <v>0.11219999999999999</v>
      </c>
    </row>
    <row r="53" spans="1:8" x14ac:dyDescent="0.25">
      <c r="A53">
        <v>0.46</v>
      </c>
      <c r="B53">
        <v>630</v>
      </c>
      <c r="C53">
        <v>670</v>
      </c>
      <c r="D53">
        <v>125</v>
      </c>
      <c r="E53" s="43">
        <v>0.64239999999999997</v>
      </c>
      <c r="F53" s="43">
        <v>0.68320000000000003</v>
      </c>
      <c r="G53" s="43">
        <v>0.1275</v>
      </c>
      <c r="H53" t="s">
        <v>117</v>
      </c>
    </row>
    <row r="54" spans="1:8" x14ac:dyDescent="0.25">
      <c r="A54">
        <v>0.48</v>
      </c>
      <c r="B54">
        <v>655</v>
      </c>
      <c r="C54">
        <v>685</v>
      </c>
      <c r="D54">
        <v>125</v>
      </c>
      <c r="E54" s="43">
        <v>0.66790000000000005</v>
      </c>
      <c r="F54" s="43">
        <v>0.69850000000000001</v>
      </c>
      <c r="G54" s="43">
        <v>0.1275</v>
      </c>
    </row>
    <row r="55" spans="1:8" x14ac:dyDescent="0.25">
      <c r="A55">
        <v>0.5</v>
      </c>
      <c r="B55">
        <v>710</v>
      </c>
      <c r="C55">
        <v>780</v>
      </c>
      <c r="D55">
        <v>130</v>
      </c>
      <c r="E55" s="43">
        <v>0.72399999999999998</v>
      </c>
      <c r="F55" s="43">
        <v>0.7954</v>
      </c>
      <c r="G55" s="43">
        <v>0.1326</v>
      </c>
    </row>
    <row r="56" spans="1:8" x14ac:dyDescent="0.25">
      <c r="A56">
        <v>0.52</v>
      </c>
      <c r="B56">
        <v>830</v>
      </c>
      <c r="C56">
        <v>890</v>
      </c>
      <c r="D56">
        <v>145</v>
      </c>
      <c r="E56" s="43">
        <v>0.84640000000000004</v>
      </c>
      <c r="F56" s="43">
        <v>0.90759999999999996</v>
      </c>
      <c r="G56" s="43">
        <v>0.1479</v>
      </c>
      <c r="H56" t="s">
        <v>118</v>
      </c>
    </row>
    <row r="57" spans="1:8" x14ac:dyDescent="0.25">
      <c r="A57">
        <v>0.55000000000000004</v>
      </c>
      <c r="B57">
        <v>680</v>
      </c>
      <c r="C57">
        <v>790</v>
      </c>
      <c r="D57">
        <v>120</v>
      </c>
      <c r="E57" s="43">
        <v>0.69340000000000002</v>
      </c>
      <c r="F57" s="43">
        <v>0.80559999999999998</v>
      </c>
      <c r="G57" s="43">
        <v>0.12239999999999999</v>
      </c>
    </row>
    <row r="58" spans="1:8" x14ac:dyDescent="0.25">
      <c r="A58">
        <v>0.6</v>
      </c>
      <c r="B58">
        <v>500</v>
      </c>
      <c r="C58">
        <v>600</v>
      </c>
      <c r="D58">
        <v>115</v>
      </c>
      <c r="E58" s="43">
        <v>0.50990000000000002</v>
      </c>
      <c r="F58" s="43">
        <v>0.61180000000000001</v>
      </c>
      <c r="G58" s="43">
        <v>0.1173</v>
      </c>
      <c r="H58" t="s">
        <v>119</v>
      </c>
    </row>
    <row r="59" spans="1:8" x14ac:dyDescent="0.25">
      <c r="A59">
        <v>0.65</v>
      </c>
      <c r="B59">
        <v>295</v>
      </c>
      <c r="C59">
        <v>360</v>
      </c>
      <c r="D59">
        <v>115</v>
      </c>
      <c r="E59" s="43">
        <v>0.30080000000000001</v>
      </c>
      <c r="F59" s="43">
        <v>0.36709999999999998</v>
      </c>
      <c r="G59" s="43">
        <v>0.1173</v>
      </c>
    </row>
    <row r="60" spans="1:8" x14ac:dyDescent="0.25">
      <c r="A60">
        <v>0.7</v>
      </c>
      <c r="B60">
        <v>300</v>
      </c>
      <c r="C60">
        <v>310</v>
      </c>
      <c r="D60">
        <v>100</v>
      </c>
      <c r="E60" s="43">
        <v>0.30590000000000001</v>
      </c>
      <c r="F60" s="43">
        <v>0.31609999999999999</v>
      </c>
      <c r="G60" s="43">
        <v>0.10199999999999999</v>
      </c>
    </row>
    <row r="61" spans="1:8" x14ac:dyDescent="0.25">
      <c r="A61">
        <v>0.75</v>
      </c>
      <c r="B61">
        <v>275</v>
      </c>
      <c r="C61">
        <v>275</v>
      </c>
      <c r="D61">
        <v>100</v>
      </c>
      <c r="E61" s="43">
        <v>0.28039999999999998</v>
      </c>
      <c r="F61" s="43">
        <v>0.28039999999999998</v>
      </c>
      <c r="G61" s="43">
        <v>0.10199999999999999</v>
      </c>
      <c r="H61" t="s">
        <v>109</v>
      </c>
    </row>
    <row r="62" spans="1:8" x14ac:dyDescent="0.25">
      <c r="A62">
        <v>0.8</v>
      </c>
      <c r="B62">
        <v>200</v>
      </c>
      <c r="C62">
        <v>225</v>
      </c>
      <c r="D62">
        <v>120</v>
      </c>
      <c r="E62" s="43">
        <v>0.2039</v>
      </c>
      <c r="F62" s="43">
        <v>0.22939999999999999</v>
      </c>
      <c r="G62" s="43">
        <v>0.12239999999999999</v>
      </c>
    </row>
    <row r="63" spans="1:8" x14ac:dyDescent="0.25">
      <c r="A63">
        <v>0.85</v>
      </c>
      <c r="B63">
        <v>170</v>
      </c>
      <c r="C63">
        <v>170</v>
      </c>
      <c r="D63">
        <v>110</v>
      </c>
      <c r="E63" s="43">
        <v>0.17330000000000001</v>
      </c>
      <c r="F63" s="43">
        <v>0.17330000000000001</v>
      </c>
      <c r="G63" s="43">
        <v>0.11219999999999999</v>
      </c>
    </row>
    <row r="64" spans="1:8" x14ac:dyDescent="0.25">
      <c r="A64">
        <v>0.9</v>
      </c>
      <c r="B64">
        <v>138</v>
      </c>
      <c r="C64">
        <v>187</v>
      </c>
      <c r="D64">
        <v>82</v>
      </c>
      <c r="E64" s="43">
        <v>0.14069999999999999</v>
      </c>
      <c r="F64" s="43">
        <v>0.19070000000000001</v>
      </c>
      <c r="G64" s="43">
        <v>8.3599999999999994E-2</v>
      </c>
    </row>
    <row r="65" spans="1:8" x14ac:dyDescent="0.25">
      <c r="A65">
        <v>0.95</v>
      </c>
      <c r="B65">
        <v>115</v>
      </c>
      <c r="C65">
        <v>165</v>
      </c>
      <c r="D65">
        <v>70</v>
      </c>
      <c r="E65" s="43">
        <v>0.1173</v>
      </c>
      <c r="F65" s="43">
        <v>0.16819999999999999</v>
      </c>
      <c r="G65" s="43">
        <v>7.1400000000000005E-2</v>
      </c>
    </row>
    <row r="66" spans="1:8" x14ac:dyDescent="0.25">
      <c r="A66">
        <v>1</v>
      </c>
      <c r="B66">
        <v>100</v>
      </c>
      <c r="C66">
        <v>175</v>
      </c>
      <c r="D66">
        <v>60</v>
      </c>
      <c r="E66" s="43">
        <v>0.10199999999999999</v>
      </c>
      <c r="F66" s="43">
        <v>0.1784</v>
      </c>
      <c r="G66" s="43">
        <v>6.1199999999999997E-2</v>
      </c>
      <c r="H66" t="s">
        <v>120</v>
      </c>
    </row>
    <row r="67" spans="1:8" x14ac:dyDescent="0.25">
      <c r="A67">
        <v>1.1000000000000001</v>
      </c>
      <c r="B67">
        <v>98</v>
      </c>
      <c r="C67">
        <v>138</v>
      </c>
      <c r="D67">
        <v>42</v>
      </c>
      <c r="E67" s="43">
        <v>9.9900000000000003E-2</v>
      </c>
      <c r="F67" s="43">
        <v>0.14069999999999999</v>
      </c>
      <c r="G67" s="43">
        <v>4.2799999999999998E-2</v>
      </c>
    </row>
    <row r="68" spans="1:8" x14ac:dyDescent="0.25">
      <c r="A68">
        <v>1.2</v>
      </c>
      <c r="B68">
        <v>98</v>
      </c>
      <c r="C68">
        <v>153</v>
      </c>
      <c r="D68">
        <v>35</v>
      </c>
      <c r="E68" s="43">
        <v>9.9900000000000003E-2</v>
      </c>
      <c r="F68" s="43">
        <v>0.156</v>
      </c>
      <c r="G68" s="43">
        <v>3.5700000000000003E-2</v>
      </c>
    </row>
    <row r="69" spans="1:8" x14ac:dyDescent="0.25">
      <c r="A69">
        <v>1.3</v>
      </c>
      <c r="B69">
        <v>78</v>
      </c>
      <c r="C69">
        <v>115</v>
      </c>
      <c r="D69">
        <v>36</v>
      </c>
      <c r="E69" s="43">
        <v>7.9500000000000001E-2</v>
      </c>
      <c r="F69" s="43">
        <v>0.1173</v>
      </c>
      <c r="G69" s="43">
        <v>3.6700000000000003E-2</v>
      </c>
    </row>
    <row r="70" spans="1:8" x14ac:dyDescent="0.25">
      <c r="A70">
        <v>1.4</v>
      </c>
      <c r="B70">
        <v>88</v>
      </c>
      <c r="C70">
        <v>105</v>
      </c>
      <c r="D70">
        <v>33</v>
      </c>
      <c r="E70" s="43">
        <v>8.9700000000000002E-2</v>
      </c>
      <c r="F70" s="43">
        <v>0.1071</v>
      </c>
      <c r="G70" s="43">
        <v>3.3599999999999998E-2</v>
      </c>
    </row>
    <row r="71" spans="1:8" x14ac:dyDescent="0.25">
      <c r="A71">
        <v>1.5</v>
      </c>
      <c r="B71">
        <v>76</v>
      </c>
      <c r="C71">
        <v>135</v>
      </c>
      <c r="D71">
        <v>36</v>
      </c>
      <c r="E71" s="43">
        <v>7.7499999999999999E-2</v>
      </c>
      <c r="F71" s="43">
        <v>0.13769999999999999</v>
      </c>
      <c r="G71" s="43">
        <v>3.6700000000000003E-2</v>
      </c>
    </row>
    <row r="72" spans="1:8" x14ac:dyDescent="0.25">
      <c r="A72">
        <v>1.6</v>
      </c>
      <c r="B72">
        <v>85</v>
      </c>
      <c r="C72">
        <v>80</v>
      </c>
      <c r="D72">
        <v>18</v>
      </c>
      <c r="E72" s="43">
        <v>8.6699999999999999E-2</v>
      </c>
      <c r="F72" s="43">
        <v>8.1600000000000006E-2</v>
      </c>
      <c r="G72" s="43">
        <v>1.84E-2</v>
      </c>
    </row>
    <row r="73" spans="1:8" x14ac:dyDescent="0.25">
      <c r="A73">
        <v>1.7</v>
      </c>
      <c r="B73">
        <v>62</v>
      </c>
      <c r="C73">
        <v>82</v>
      </c>
      <c r="D73">
        <v>19</v>
      </c>
      <c r="E73" s="43">
        <v>6.3200000000000006E-2</v>
      </c>
      <c r="F73" s="43">
        <v>8.3599999999999994E-2</v>
      </c>
      <c r="G73" s="43">
        <v>1.9400000000000001E-2</v>
      </c>
    </row>
    <row r="74" spans="1:8" x14ac:dyDescent="0.25">
      <c r="A74">
        <v>1.8</v>
      </c>
      <c r="B74">
        <v>82</v>
      </c>
      <c r="C74">
        <v>82</v>
      </c>
      <c r="D74">
        <v>18</v>
      </c>
      <c r="E74" s="43">
        <v>8.3599999999999994E-2</v>
      </c>
      <c r="F74" s="43">
        <v>8.3599999999999994E-2</v>
      </c>
      <c r="G74" s="43">
        <v>1.84E-2</v>
      </c>
    </row>
    <row r="75" spans="1:8" x14ac:dyDescent="0.25">
      <c r="A75">
        <v>1.9</v>
      </c>
      <c r="B75">
        <v>50</v>
      </c>
      <c r="C75">
        <v>48</v>
      </c>
      <c r="D75">
        <v>14</v>
      </c>
      <c r="E75" s="43">
        <v>5.0999999999999997E-2</v>
      </c>
      <c r="F75" s="43">
        <v>4.8899999999999999E-2</v>
      </c>
      <c r="G75" s="43">
        <v>1.43E-2</v>
      </c>
    </row>
    <row r="76" spans="1:8" x14ac:dyDescent="0.25">
      <c r="A76">
        <v>2</v>
      </c>
      <c r="B76">
        <v>62</v>
      </c>
      <c r="C76">
        <v>50</v>
      </c>
      <c r="D76">
        <v>15</v>
      </c>
      <c r="E76" s="43">
        <v>6.3200000000000006E-2</v>
      </c>
      <c r="F76" s="43">
        <v>5.0999999999999997E-2</v>
      </c>
      <c r="G76" s="43">
        <v>1.5299999999999999E-2</v>
      </c>
    </row>
    <row r="77" spans="1:8" x14ac:dyDescent="0.25">
      <c r="A77">
        <v>2.2000000000000002</v>
      </c>
      <c r="B77">
        <v>48</v>
      </c>
      <c r="C77">
        <v>48</v>
      </c>
      <c r="D77">
        <v>15</v>
      </c>
      <c r="E77" s="43">
        <v>4.8899999999999999E-2</v>
      </c>
      <c r="F77" s="43">
        <v>4.8899999999999999E-2</v>
      </c>
      <c r="G77" s="43">
        <v>1.5299999999999999E-2</v>
      </c>
    </row>
    <row r="78" spans="1:8" x14ac:dyDescent="0.25">
      <c r="A78">
        <v>2.5</v>
      </c>
      <c r="B78">
        <v>25</v>
      </c>
      <c r="C78">
        <v>32</v>
      </c>
      <c r="D78">
        <v>9</v>
      </c>
      <c r="E78" s="43">
        <v>2.5499999999999998E-2</v>
      </c>
      <c r="F78" s="43">
        <v>3.2599999999999997E-2</v>
      </c>
      <c r="G78" s="43">
        <v>9.1999999999999998E-3</v>
      </c>
    </row>
    <row r="79" spans="1:8" x14ac:dyDescent="0.25">
      <c r="A79">
        <v>2.8</v>
      </c>
      <c r="B79">
        <v>28</v>
      </c>
      <c r="C79">
        <v>18</v>
      </c>
      <c r="D79">
        <v>10</v>
      </c>
      <c r="E79" s="43">
        <v>2.86E-2</v>
      </c>
      <c r="F79" s="43">
        <v>1.84E-2</v>
      </c>
      <c r="G79" s="43">
        <v>1.0200000000000001E-2</v>
      </c>
    </row>
    <row r="80" spans="1:8" x14ac:dyDescent="0.25">
      <c r="A80">
        <v>3</v>
      </c>
      <c r="B80">
        <v>20</v>
      </c>
      <c r="C80">
        <v>14</v>
      </c>
      <c r="D80">
        <v>10</v>
      </c>
      <c r="E80" s="43">
        <v>2.0400000000000001E-2</v>
      </c>
      <c r="F80" s="43">
        <v>1.43E-2</v>
      </c>
      <c r="G80" s="43">
        <v>1.0200000000000001E-2</v>
      </c>
    </row>
    <row r="81" spans="1:7" x14ac:dyDescent="0.25">
      <c r="A81">
        <v>3.5</v>
      </c>
      <c r="B81">
        <v>13</v>
      </c>
      <c r="C81">
        <v>10</v>
      </c>
      <c r="D81">
        <v>5</v>
      </c>
      <c r="E81" s="43">
        <v>1.3299999999999999E-2</v>
      </c>
      <c r="F81" s="43">
        <v>1.0200000000000001E-2</v>
      </c>
      <c r="G81" s="43">
        <v>5.1000000000000004E-3</v>
      </c>
    </row>
    <row r="82" spans="1:7" x14ac:dyDescent="0.25">
      <c r="A82">
        <v>4</v>
      </c>
      <c r="B82">
        <v>13</v>
      </c>
      <c r="C82">
        <v>5</v>
      </c>
      <c r="D82">
        <v>3</v>
      </c>
      <c r="E82" s="43">
        <v>1.3299999999999999E-2</v>
      </c>
      <c r="F82" s="43">
        <v>5.1000000000000004E-3</v>
      </c>
      <c r="G82" s="43">
        <v>3.0999999999999999E-3</v>
      </c>
    </row>
    <row r="83" spans="1:7" x14ac:dyDescent="0.25">
      <c r="A83">
        <v>4.5</v>
      </c>
      <c r="B83">
        <v>6</v>
      </c>
      <c r="C83">
        <v>5</v>
      </c>
      <c r="D83">
        <v>2</v>
      </c>
      <c r="E83" s="43">
        <v>6.1000000000000004E-3</v>
      </c>
      <c r="F83" s="43">
        <v>5.1000000000000004E-3</v>
      </c>
      <c r="G83" s="43">
        <v>2E-3</v>
      </c>
    </row>
    <row r="84" spans="1:7" x14ac:dyDescent="0.25">
      <c r="A84">
        <v>5</v>
      </c>
      <c r="B84">
        <v>5</v>
      </c>
      <c r="C84">
        <v>5</v>
      </c>
      <c r="D84">
        <v>2</v>
      </c>
      <c r="E84" s="43">
        <v>5.1000000000000004E-3</v>
      </c>
      <c r="F84" s="43">
        <v>5.1000000000000004E-3</v>
      </c>
      <c r="G84" s="43">
        <v>2E-3</v>
      </c>
    </row>
  </sheetData>
  <conditionalFormatting sqref="E3:G84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40C3-42C5-4E39-AE6E-13015568AAAC}">
  <sheetPr>
    <tabColor rgb="FFFFFF00"/>
  </sheetPr>
  <dimension ref="A1:L81"/>
  <sheetViews>
    <sheetView showGridLines="0" workbookViewId="0">
      <pane xSplit="1" ySplit="2" topLeftCell="B3" activePane="bottomRight" state="frozen"/>
      <selection activeCell="G3" sqref="G3"/>
      <selection pane="topRight" activeCell="G3" sqref="G3"/>
      <selection pane="bottomLeft" activeCell="G3" sqref="G3"/>
      <selection pane="bottomRight" activeCell="B3" sqref="B3"/>
    </sheetView>
  </sheetViews>
  <sheetFormatPr baseColWidth="10" defaultRowHeight="15" x14ac:dyDescent="0.25"/>
  <cols>
    <col min="8" max="8" width="35.7109375" bestFit="1" customWidth="1"/>
  </cols>
  <sheetData>
    <row r="1" spans="1:8" ht="20.25" thickBot="1" x14ac:dyDescent="0.35">
      <c r="A1" s="42" t="s">
        <v>121</v>
      </c>
    </row>
    <row r="2" spans="1:8" ht="39.75" thickTop="1" x14ac:dyDescent="0.25">
      <c r="A2" s="48" t="s">
        <v>89</v>
      </c>
      <c r="B2" s="48" t="s">
        <v>90</v>
      </c>
      <c r="C2" s="48" t="s">
        <v>91</v>
      </c>
      <c r="D2" s="48" t="s">
        <v>92</v>
      </c>
      <c r="E2" s="48" t="s">
        <v>122</v>
      </c>
      <c r="F2" s="48" t="s">
        <v>123</v>
      </c>
      <c r="G2" s="48" t="s">
        <v>124</v>
      </c>
      <c r="H2" s="49" t="s">
        <v>125</v>
      </c>
    </row>
    <row r="3" spans="1:8" x14ac:dyDescent="0.25">
      <c r="A3" s="50">
        <v>0.01</v>
      </c>
      <c r="B3" s="50">
        <v>278</v>
      </c>
      <c r="C3" s="50">
        <v>388</v>
      </c>
      <c r="D3" s="50">
        <v>91</v>
      </c>
      <c r="E3" s="43">
        <v>0.28349999999999997</v>
      </c>
      <c r="F3" s="43">
        <v>0.3957</v>
      </c>
      <c r="G3" s="43">
        <v>9.2799999999999994E-2</v>
      </c>
      <c r="H3" s="50" t="s">
        <v>126</v>
      </c>
    </row>
    <row r="4" spans="1:8" x14ac:dyDescent="0.25">
      <c r="A4" s="50">
        <v>1.2E-2</v>
      </c>
      <c r="B4" s="50">
        <v>276</v>
      </c>
      <c r="C4" s="50">
        <v>389</v>
      </c>
      <c r="D4" s="50">
        <v>91</v>
      </c>
      <c r="E4" s="43">
        <v>0.28139999999999998</v>
      </c>
      <c r="F4" s="43">
        <v>0.3967</v>
      </c>
      <c r="G4" s="43">
        <v>9.2799999999999994E-2</v>
      </c>
      <c r="H4" s="51" t="s">
        <v>127</v>
      </c>
    </row>
    <row r="5" spans="1:8" x14ac:dyDescent="0.25">
      <c r="A5" s="50">
        <v>1.4E-2</v>
      </c>
      <c r="B5" s="50">
        <v>277</v>
      </c>
      <c r="C5" s="50">
        <v>390</v>
      </c>
      <c r="D5" s="50">
        <v>92</v>
      </c>
      <c r="E5" s="43">
        <v>0.28249999999999997</v>
      </c>
      <c r="F5" s="43">
        <v>0.3977</v>
      </c>
      <c r="G5" s="43">
        <v>9.3799999999999994E-2</v>
      </c>
      <c r="H5" s="51"/>
    </row>
    <row r="6" spans="1:8" x14ac:dyDescent="0.25">
      <c r="A6" s="50">
        <v>1.6E-2</v>
      </c>
      <c r="B6" s="50">
        <v>278</v>
      </c>
      <c r="C6" s="50">
        <v>392</v>
      </c>
      <c r="D6" s="50">
        <v>93</v>
      </c>
      <c r="E6" s="43">
        <v>0.28349999999999997</v>
      </c>
      <c r="F6" s="43">
        <v>0.3997</v>
      </c>
      <c r="G6" s="43">
        <v>9.4799999999999995E-2</v>
      </c>
      <c r="H6" s="51"/>
    </row>
    <row r="7" spans="1:8" x14ac:dyDescent="0.25">
      <c r="A7" s="50">
        <v>1.7999999999999999E-2</v>
      </c>
      <c r="B7" s="50">
        <v>277</v>
      </c>
      <c r="C7" s="50">
        <v>388</v>
      </c>
      <c r="D7" s="50">
        <v>96</v>
      </c>
      <c r="E7" s="43">
        <v>0.28249999999999997</v>
      </c>
      <c r="F7" s="43">
        <v>0.3957</v>
      </c>
      <c r="G7" s="43">
        <v>9.7900000000000001E-2</v>
      </c>
      <c r="H7" s="51"/>
    </row>
    <row r="8" spans="1:8" x14ac:dyDescent="0.25">
      <c r="A8" s="50">
        <v>0.02</v>
      </c>
      <c r="B8" s="50">
        <v>275</v>
      </c>
      <c r="C8" s="50">
        <v>389</v>
      </c>
      <c r="D8" s="50">
        <v>94</v>
      </c>
      <c r="E8" s="43">
        <v>0.28039999999999998</v>
      </c>
      <c r="F8" s="43">
        <v>0.3967</v>
      </c>
      <c r="G8" s="43">
        <v>9.5899999999999999E-2</v>
      </c>
      <c r="H8" s="51"/>
    </row>
    <row r="9" spans="1:8" x14ac:dyDescent="0.25">
      <c r="A9" s="50">
        <v>2.1999999999999999E-2</v>
      </c>
      <c r="B9" s="50">
        <v>280</v>
      </c>
      <c r="C9" s="50">
        <v>391</v>
      </c>
      <c r="D9" s="50">
        <v>94</v>
      </c>
      <c r="E9" s="43">
        <v>0.28549999999999998</v>
      </c>
      <c r="F9" s="43">
        <v>0.3987</v>
      </c>
      <c r="G9" s="43">
        <v>9.5899999999999999E-2</v>
      </c>
      <c r="H9" s="50"/>
    </row>
    <row r="10" spans="1:8" x14ac:dyDescent="0.25">
      <c r="A10" s="50">
        <v>2.5000000000000001E-2</v>
      </c>
      <c r="B10" s="50">
        <v>281</v>
      </c>
      <c r="C10" s="50">
        <v>390</v>
      </c>
      <c r="D10" s="50">
        <v>94</v>
      </c>
      <c r="E10" s="43">
        <v>0.28649999999999998</v>
      </c>
      <c r="F10" s="43">
        <v>0.3977</v>
      </c>
      <c r="G10" s="43">
        <v>9.5899999999999999E-2</v>
      </c>
      <c r="H10" s="51"/>
    </row>
    <row r="11" spans="1:8" x14ac:dyDescent="0.25">
      <c r="A11" s="50">
        <v>2.8000000000000001E-2</v>
      </c>
      <c r="B11" s="50">
        <v>281</v>
      </c>
      <c r="C11" s="50">
        <v>389</v>
      </c>
      <c r="D11" s="50">
        <v>93</v>
      </c>
      <c r="E11" s="43">
        <v>0.28649999999999998</v>
      </c>
      <c r="F11" s="43">
        <v>0.3967</v>
      </c>
      <c r="G11" s="43">
        <v>9.4799999999999995E-2</v>
      </c>
      <c r="H11" s="51"/>
    </row>
    <row r="12" spans="1:8" x14ac:dyDescent="0.25">
      <c r="A12" s="50">
        <v>0.03</v>
      </c>
      <c r="B12" s="50">
        <v>282</v>
      </c>
      <c r="C12" s="50">
        <v>388</v>
      </c>
      <c r="D12" s="50">
        <v>97</v>
      </c>
      <c r="E12" s="43">
        <v>0.28760000000000002</v>
      </c>
      <c r="F12" s="43">
        <v>0.3957</v>
      </c>
      <c r="G12" s="43">
        <v>9.8900000000000002E-2</v>
      </c>
      <c r="H12" s="51"/>
    </row>
    <row r="13" spans="1:8" x14ac:dyDescent="0.25">
      <c r="A13" s="50">
        <v>3.5000000000000003E-2</v>
      </c>
      <c r="B13" s="50">
        <v>288</v>
      </c>
      <c r="C13" s="50">
        <v>395</v>
      </c>
      <c r="D13" s="50">
        <v>102</v>
      </c>
      <c r="E13" s="43">
        <v>0.29370000000000002</v>
      </c>
      <c r="F13" s="43">
        <v>0.40279999999999999</v>
      </c>
      <c r="G13" s="43">
        <v>0.104</v>
      </c>
      <c r="H13" s="51" t="s">
        <v>128</v>
      </c>
    </row>
    <row r="14" spans="1:8" x14ac:dyDescent="0.25">
      <c r="A14" s="50">
        <v>0.04</v>
      </c>
      <c r="B14" s="50">
        <v>292</v>
      </c>
      <c r="C14" s="50">
        <v>398</v>
      </c>
      <c r="D14" s="50">
        <v>114</v>
      </c>
      <c r="E14" s="43">
        <v>0.29780000000000001</v>
      </c>
      <c r="F14" s="43">
        <v>0.40579999999999999</v>
      </c>
      <c r="G14" s="43">
        <v>0.1162</v>
      </c>
      <c r="H14" s="51"/>
    </row>
    <row r="15" spans="1:8" x14ac:dyDescent="0.25">
      <c r="A15" s="50">
        <v>4.4999999999999998E-2</v>
      </c>
      <c r="B15" s="50">
        <v>295</v>
      </c>
      <c r="C15" s="50">
        <v>403</v>
      </c>
      <c r="D15" s="50">
        <v>113</v>
      </c>
      <c r="E15" s="43">
        <v>0.30080000000000001</v>
      </c>
      <c r="F15" s="43">
        <v>0.41089999999999999</v>
      </c>
      <c r="G15" s="43">
        <v>0.1152</v>
      </c>
      <c r="H15" s="51"/>
    </row>
    <row r="16" spans="1:8" x14ac:dyDescent="0.25">
      <c r="A16" s="50">
        <v>0.05</v>
      </c>
      <c r="B16" s="50">
        <v>300</v>
      </c>
      <c r="C16" s="50">
        <v>402</v>
      </c>
      <c r="D16" s="50">
        <v>120</v>
      </c>
      <c r="E16" s="43">
        <v>0.30590000000000001</v>
      </c>
      <c r="F16" s="43">
        <v>0.40989999999999999</v>
      </c>
      <c r="G16" s="43">
        <v>0.12239999999999999</v>
      </c>
      <c r="H16" s="51"/>
    </row>
    <row r="17" spans="1:12" x14ac:dyDescent="0.25">
      <c r="A17" s="50">
        <v>5.5E-2</v>
      </c>
      <c r="B17" s="50">
        <v>315</v>
      </c>
      <c r="C17" s="50">
        <v>400</v>
      </c>
      <c r="D17" s="50">
        <v>112</v>
      </c>
      <c r="E17" s="43">
        <v>0.32119999999999999</v>
      </c>
      <c r="F17" s="43">
        <v>0.40789999999999998</v>
      </c>
      <c r="G17" s="43">
        <v>0.1142</v>
      </c>
      <c r="H17" s="51"/>
    </row>
    <row r="18" spans="1:12" x14ac:dyDescent="0.25">
      <c r="A18" s="50">
        <v>0.06</v>
      </c>
      <c r="B18" s="50">
        <v>318</v>
      </c>
      <c r="C18" s="50">
        <v>412</v>
      </c>
      <c r="D18" s="50">
        <v>108</v>
      </c>
      <c r="E18" s="43">
        <v>0.32429999999999998</v>
      </c>
      <c r="F18" s="43">
        <v>0.42009999999999997</v>
      </c>
      <c r="G18" s="43">
        <v>0.1101</v>
      </c>
      <c r="H18" s="51"/>
    </row>
    <row r="19" spans="1:12" x14ac:dyDescent="0.25">
      <c r="A19" s="50">
        <v>6.5000000000000002E-2</v>
      </c>
      <c r="B19" s="50">
        <v>312</v>
      </c>
      <c r="C19" s="50">
        <v>432</v>
      </c>
      <c r="D19" s="50">
        <v>115</v>
      </c>
      <c r="E19" s="43">
        <v>0.31809999999999999</v>
      </c>
      <c r="F19" s="43">
        <v>0.4405</v>
      </c>
      <c r="G19" s="43">
        <v>0.1173</v>
      </c>
      <c r="H19" s="51"/>
    </row>
    <row r="20" spans="1:12" x14ac:dyDescent="0.25">
      <c r="A20" s="50">
        <v>7.0000000000000007E-2</v>
      </c>
      <c r="B20" s="50">
        <v>340</v>
      </c>
      <c r="C20" s="50">
        <v>458</v>
      </c>
      <c r="D20" s="50">
        <v>112</v>
      </c>
      <c r="E20" s="43">
        <v>0.34670000000000001</v>
      </c>
      <c r="F20" s="43">
        <v>0.46700000000000003</v>
      </c>
      <c r="G20" s="43">
        <v>0.1142</v>
      </c>
      <c r="H20" s="51"/>
    </row>
    <row r="21" spans="1:12" x14ac:dyDescent="0.25">
      <c r="A21" s="50">
        <v>7.4999999999999997E-2</v>
      </c>
      <c r="B21" s="50">
        <v>338</v>
      </c>
      <c r="C21" s="50">
        <v>452</v>
      </c>
      <c r="D21" s="50">
        <v>128</v>
      </c>
      <c r="E21" s="43">
        <v>0.34470000000000001</v>
      </c>
      <c r="F21" s="43">
        <v>0.46089999999999998</v>
      </c>
      <c r="G21" s="43">
        <v>0.1305</v>
      </c>
      <c r="H21" s="51"/>
    </row>
    <row r="22" spans="1:12" x14ac:dyDescent="0.25">
      <c r="A22" s="50">
        <v>0.08</v>
      </c>
      <c r="B22" s="50">
        <v>335</v>
      </c>
      <c r="C22" s="50">
        <v>472</v>
      </c>
      <c r="D22" s="50">
        <v>155</v>
      </c>
      <c r="E22" s="43">
        <v>0.34160000000000001</v>
      </c>
      <c r="F22" s="43">
        <v>0.48130000000000001</v>
      </c>
      <c r="G22" s="43">
        <v>0.15809999999999999</v>
      </c>
      <c r="H22" s="50" t="s">
        <v>129</v>
      </c>
    </row>
    <row r="23" spans="1:12" x14ac:dyDescent="0.25">
      <c r="A23" s="50">
        <v>8.5000000000000006E-2</v>
      </c>
      <c r="B23" s="50">
        <v>365</v>
      </c>
      <c r="C23" s="50">
        <v>458</v>
      </c>
      <c r="D23" s="50">
        <v>210</v>
      </c>
      <c r="E23" s="43">
        <v>0.37219999999999998</v>
      </c>
      <c r="F23" s="43">
        <v>0.46700000000000003</v>
      </c>
      <c r="G23" s="43">
        <v>0.21410000000000001</v>
      </c>
      <c r="H23" s="50"/>
    </row>
    <row r="24" spans="1:12" x14ac:dyDescent="0.25">
      <c r="A24" s="50">
        <v>0.09</v>
      </c>
      <c r="B24" s="50">
        <v>378</v>
      </c>
      <c r="C24" s="50">
        <v>450</v>
      </c>
      <c r="D24" s="50">
        <v>235</v>
      </c>
      <c r="E24" s="43">
        <v>0.38550000000000001</v>
      </c>
      <c r="F24" s="43">
        <v>0.45889999999999997</v>
      </c>
      <c r="G24" s="43">
        <v>0.23960000000000001</v>
      </c>
      <c r="H24" s="51" t="s">
        <v>130</v>
      </c>
    </row>
    <row r="25" spans="1:12" x14ac:dyDescent="0.25">
      <c r="A25" s="50">
        <v>9.5000000000000001E-2</v>
      </c>
      <c r="B25" s="50">
        <v>395</v>
      </c>
      <c r="C25" s="50">
        <v>468</v>
      </c>
      <c r="D25" s="50">
        <v>218</v>
      </c>
      <c r="E25" s="43">
        <v>0.40279999999999999</v>
      </c>
      <c r="F25" s="43">
        <v>0.47720000000000001</v>
      </c>
      <c r="G25" s="43">
        <v>0.2223</v>
      </c>
      <c r="H25" s="50"/>
      <c r="I25" s="18" t="s">
        <v>131</v>
      </c>
    </row>
    <row r="26" spans="1:12" x14ac:dyDescent="0.25">
      <c r="A26" s="50">
        <v>0.1</v>
      </c>
      <c r="B26" s="50">
        <v>402</v>
      </c>
      <c r="C26" s="50">
        <v>452</v>
      </c>
      <c r="D26" s="50">
        <v>248</v>
      </c>
      <c r="E26" s="43">
        <v>0.41</v>
      </c>
      <c r="F26" s="43">
        <v>0.46089999999999998</v>
      </c>
      <c r="G26" s="43">
        <v>0.25290000000000001</v>
      </c>
      <c r="H26" s="51" t="s">
        <v>132</v>
      </c>
      <c r="I26" s="44"/>
      <c r="J26" s="45" t="s">
        <v>103</v>
      </c>
      <c r="K26" s="45" t="s">
        <v>104</v>
      </c>
      <c r="L26" s="45" t="s">
        <v>105</v>
      </c>
    </row>
    <row r="27" spans="1:12" x14ac:dyDescent="0.25">
      <c r="A27" s="50">
        <v>0.11</v>
      </c>
      <c r="B27" s="50">
        <v>415</v>
      </c>
      <c r="C27" s="50">
        <v>445</v>
      </c>
      <c r="D27" s="50">
        <v>200</v>
      </c>
      <c r="E27" s="43">
        <v>0.42320000000000002</v>
      </c>
      <c r="F27" s="43">
        <v>0.45379999999999998</v>
      </c>
      <c r="G27" s="43">
        <v>0.2039</v>
      </c>
      <c r="H27" s="51"/>
      <c r="I27" s="46" t="s">
        <v>107</v>
      </c>
      <c r="J27" s="47">
        <f>MAX(E3:E81)</f>
        <v>1.657</v>
      </c>
      <c r="K27" s="47">
        <f>MAX(F3:F81)</f>
        <v>2.0394000000000001</v>
      </c>
      <c r="L27" s="47">
        <f>MAX(G3:G81)</f>
        <v>0.42320000000000002</v>
      </c>
    </row>
    <row r="28" spans="1:12" x14ac:dyDescent="0.25">
      <c r="A28" s="50">
        <v>0.12</v>
      </c>
      <c r="B28" s="50">
        <v>490</v>
      </c>
      <c r="C28" s="50">
        <v>508</v>
      </c>
      <c r="D28" s="50">
        <v>190</v>
      </c>
      <c r="E28" s="43">
        <v>0.49969999999999998</v>
      </c>
      <c r="F28" s="43">
        <v>0.51800000000000002</v>
      </c>
      <c r="G28" s="43">
        <v>0.19370000000000001</v>
      </c>
      <c r="H28" s="51"/>
      <c r="I28" s="46" t="s">
        <v>108</v>
      </c>
      <c r="J28" s="44">
        <f>INDEX($A$3:$A$81,MATCH(J27,E$3:E$81,0))</f>
        <v>0.56000000000000005</v>
      </c>
      <c r="K28" s="44">
        <f>INDEX($A$3:$A$81,MATCH(K27,F$3:F$81,0))</f>
        <v>0.57999999999999996</v>
      </c>
      <c r="L28" s="44">
        <f>INDEX($A$3:$A$81,MATCH(L27,G$3:G$81,0))</f>
        <v>0.28999999999999998</v>
      </c>
    </row>
    <row r="29" spans="1:12" x14ac:dyDescent="0.25">
      <c r="A29" s="50">
        <v>0.13</v>
      </c>
      <c r="B29" s="50">
        <v>518</v>
      </c>
      <c r="C29" s="50">
        <v>555</v>
      </c>
      <c r="D29" s="50">
        <v>248</v>
      </c>
      <c r="E29" s="43">
        <v>0.5282</v>
      </c>
      <c r="F29" s="43">
        <v>0.56589999999999996</v>
      </c>
      <c r="G29" s="43">
        <v>0.25290000000000001</v>
      </c>
      <c r="H29" s="51" t="s">
        <v>133</v>
      </c>
    </row>
    <row r="30" spans="1:12" x14ac:dyDescent="0.25">
      <c r="A30" s="50">
        <v>0.14000000000000001</v>
      </c>
      <c r="B30" s="50">
        <v>450</v>
      </c>
      <c r="C30" s="50">
        <v>512</v>
      </c>
      <c r="D30" s="50">
        <v>230</v>
      </c>
      <c r="E30" s="43">
        <v>0.45889999999999997</v>
      </c>
      <c r="F30" s="43">
        <v>0.52210000000000001</v>
      </c>
      <c r="G30" s="43">
        <v>0.23449999999999999</v>
      </c>
      <c r="H30" s="51"/>
      <c r="I30" s="18" t="s">
        <v>134</v>
      </c>
      <c r="K30" s="18">
        <f>ESPECTRO_NSR10!$H$47</f>
        <v>0.81249999999999989</v>
      </c>
    </row>
    <row r="31" spans="1:12" x14ac:dyDescent="0.25">
      <c r="A31" s="50">
        <v>0.15</v>
      </c>
      <c r="B31" s="50">
        <v>492</v>
      </c>
      <c r="C31" s="50">
        <v>522</v>
      </c>
      <c r="D31" s="50">
        <v>192</v>
      </c>
      <c r="E31" s="43">
        <v>0.50170000000000003</v>
      </c>
      <c r="F31" s="43">
        <v>0.5323</v>
      </c>
      <c r="G31" s="43">
        <v>0.1958</v>
      </c>
      <c r="H31" s="51"/>
      <c r="I31" s="18" t="s">
        <v>135</v>
      </c>
      <c r="K31" s="52">
        <f>K27/K30</f>
        <v>2.5100307692307697</v>
      </c>
    </row>
    <row r="32" spans="1:12" x14ac:dyDescent="0.25">
      <c r="A32" s="50">
        <v>0.16</v>
      </c>
      <c r="B32" s="50">
        <v>460</v>
      </c>
      <c r="C32" s="50">
        <v>492</v>
      </c>
      <c r="D32" s="50">
        <v>215</v>
      </c>
      <c r="E32" s="43">
        <v>0.46910000000000002</v>
      </c>
      <c r="F32" s="43">
        <v>0.50170000000000003</v>
      </c>
      <c r="G32" s="43">
        <v>0.21920000000000001</v>
      </c>
      <c r="H32" s="50"/>
    </row>
    <row r="33" spans="1:8" x14ac:dyDescent="0.25">
      <c r="A33" s="50">
        <v>0.17</v>
      </c>
      <c r="B33" s="50">
        <v>480</v>
      </c>
      <c r="C33" s="50">
        <v>598</v>
      </c>
      <c r="D33" s="50">
        <v>228</v>
      </c>
      <c r="E33" s="43">
        <v>0.48949999999999999</v>
      </c>
      <c r="F33" s="43">
        <v>0.60980000000000001</v>
      </c>
      <c r="G33" s="43">
        <v>0.23250000000000001</v>
      </c>
      <c r="H33" s="51"/>
    </row>
    <row r="34" spans="1:8" x14ac:dyDescent="0.25">
      <c r="A34" s="50">
        <v>0.18</v>
      </c>
      <c r="B34" s="50">
        <v>458</v>
      </c>
      <c r="C34" s="50">
        <v>682</v>
      </c>
      <c r="D34" s="50">
        <v>265</v>
      </c>
      <c r="E34" s="43">
        <v>0.46700000000000003</v>
      </c>
      <c r="F34" s="43">
        <v>0.69540000000000002</v>
      </c>
      <c r="G34" s="43">
        <v>0.2702</v>
      </c>
      <c r="H34" s="51"/>
    </row>
    <row r="35" spans="1:8" x14ac:dyDescent="0.25">
      <c r="A35" s="50">
        <v>0.19</v>
      </c>
      <c r="B35" s="50">
        <v>502</v>
      </c>
      <c r="C35" s="50">
        <v>750</v>
      </c>
      <c r="D35" s="50">
        <v>278</v>
      </c>
      <c r="E35" s="43">
        <v>0.51190000000000002</v>
      </c>
      <c r="F35" s="43">
        <v>0.76480000000000004</v>
      </c>
      <c r="G35" s="43">
        <v>0.28349999999999997</v>
      </c>
      <c r="H35" s="51"/>
    </row>
    <row r="36" spans="1:8" x14ac:dyDescent="0.25">
      <c r="A36" s="50">
        <v>0.2</v>
      </c>
      <c r="B36" s="50">
        <v>535</v>
      </c>
      <c r="C36" s="50">
        <v>778</v>
      </c>
      <c r="D36" s="50">
        <v>308</v>
      </c>
      <c r="E36" s="43">
        <v>0.54549999999999998</v>
      </c>
      <c r="F36" s="43">
        <v>0.79330000000000001</v>
      </c>
      <c r="G36" s="43">
        <v>0.31409999999999999</v>
      </c>
      <c r="H36" s="51"/>
    </row>
    <row r="37" spans="1:8" x14ac:dyDescent="0.25">
      <c r="A37" s="50">
        <v>0.22</v>
      </c>
      <c r="B37" s="50">
        <v>592</v>
      </c>
      <c r="C37" s="50">
        <v>710</v>
      </c>
      <c r="D37" s="50">
        <v>280</v>
      </c>
      <c r="E37" s="43">
        <v>0.60370000000000001</v>
      </c>
      <c r="F37" s="43">
        <v>0.72399999999999998</v>
      </c>
      <c r="G37" s="43">
        <v>0.28549999999999998</v>
      </c>
      <c r="H37" s="50"/>
    </row>
    <row r="38" spans="1:8" x14ac:dyDescent="0.25">
      <c r="A38" s="50">
        <v>0.24</v>
      </c>
      <c r="B38" s="50">
        <v>590</v>
      </c>
      <c r="C38" s="50">
        <v>650</v>
      </c>
      <c r="D38" s="50">
        <v>250</v>
      </c>
      <c r="E38" s="43">
        <v>0.60160000000000002</v>
      </c>
      <c r="F38" s="43">
        <v>0.66279999999999994</v>
      </c>
      <c r="G38" s="43">
        <v>0.25490000000000002</v>
      </c>
      <c r="H38" s="50"/>
    </row>
    <row r="39" spans="1:8" x14ac:dyDescent="0.25">
      <c r="A39" s="50">
        <v>0.25</v>
      </c>
      <c r="B39" s="50">
        <v>620</v>
      </c>
      <c r="C39" s="50">
        <v>722</v>
      </c>
      <c r="D39" s="50">
        <v>310</v>
      </c>
      <c r="E39" s="43">
        <v>0.63219999999999998</v>
      </c>
      <c r="F39" s="43">
        <v>0.73619999999999997</v>
      </c>
      <c r="G39" s="43">
        <v>0.31609999999999999</v>
      </c>
      <c r="H39" s="51"/>
    </row>
    <row r="40" spans="1:8" x14ac:dyDescent="0.25">
      <c r="A40" s="50">
        <v>0.26</v>
      </c>
      <c r="B40" s="50">
        <v>622</v>
      </c>
      <c r="C40" s="50">
        <v>760</v>
      </c>
      <c r="D40" s="50">
        <v>340</v>
      </c>
      <c r="E40" s="43">
        <v>0.63429999999999997</v>
      </c>
      <c r="F40" s="43">
        <v>0.77500000000000002</v>
      </c>
      <c r="G40" s="43">
        <v>0.34670000000000001</v>
      </c>
      <c r="H40" s="51"/>
    </row>
    <row r="41" spans="1:8" x14ac:dyDescent="0.25">
      <c r="A41" s="50">
        <v>0.27</v>
      </c>
      <c r="B41" s="50">
        <v>605</v>
      </c>
      <c r="C41" s="50">
        <v>742</v>
      </c>
      <c r="D41" s="50">
        <v>338</v>
      </c>
      <c r="E41" s="43">
        <v>0.6169</v>
      </c>
      <c r="F41" s="43">
        <v>0.75660000000000005</v>
      </c>
      <c r="G41" s="43">
        <v>0.34470000000000001</v>
      </c>
      <c r="H41" s="51"/>
    </row>
    <row r="42" spans="1:8" x14ac:dyDescent="0.25">
      <c r="A42" s="50">
        <v>0.28000000000000003</v>
      </c>
      <c r="B42" s="50">
        <v>572</v>
      </c>
      <c r="C42" s="50">
        <v>758</v>
      </c>
      <c r="D42" s="50">
        <v>390</v>
      </c>
      <c r="E42" s="43">
        <v>0.58330000000000004</v>
      </c>
      <c r="F42" s="43">
        <v>0.77290000000000003</v>
      </c>
      <c r="G42" s="43">
        <v>0.3977</v>
      </c>
      <c r="H42" s="51"/>
    </row>
    <row r="43" spans="1:8" x14ac:dyDescent="0.25">
      <c r="A43" s="50">
        <v>0.28999999999999998</v>
      </c>
      <c r="B43" s="50">
        <v>605</v>
      </c>
      <c r="C43" s="50">
        <v>718</v>
      </c>
      <c r="D43" s="50">
        <v>415</v>
      </c>
      <c r="E43" s="43">
        <v>0.6169</v>
      </c>
      <c r="F43" s="43">
        <v>0.73219999999999996</v>
      </c>
      <c r="G43" s="43">
        <v>0.42320000000000002</v>
      </c>
      <c r="H43" s="51" t="s">
        <v>136</v>
      </c>
    </row>
    <row r="44" spans="1:8" x14ac:dyDescent="0.25">
      <c r="A44" s="50">
        <v>0.31</v>
      </c>
      <c r="B44" s="50">
        <v>580</v>
      </c>
      <c r="C44" s="50">
        <v>765</v>
      </c>
      <c r="D44" s="50">
        <v>390</v>
      </c>
      <c r="E44" s="43">
        <v>0.59140000000000004</v>
      </c>
      <c r="F44" s="43">
        <v>0.78010000000000002</v>
      </c>
      <c r="G44" s="43">
        <v>0.3977</v>
      </c>
      <c r="H44" s="50"/>
    </row>
    <row r="45" spans="1:8" x14ac:dyDescent="0.25">
      <c r="A45" s="50">
        <v>0.33</v>
      </c>
      <c r="B45" s="50">
        <v>540</v>
      </c>
      <c r="C45" s="50">
        <v>825</v>
      </c>
      <c r="D45" s="50">
        <v>340</v>
      </c>
      <c r="E45" s="43">
        <v>0.55059999999999998</v>
      </c>
      <c r="F45" s="43">
        <v>0.84130000000000005</v>
      </c>
      <c r="G45" s="43">
        <v>0.34670000000000001</v>
      </c>
      <c r="H45" s="51"/>
    </row>
    <row r="46" spans="1:8" x14ac:dyDescent="0.25">
      <c r="A46" s="50">
        <v>0.35</v>
      </c>
      <c r="B46" s="50">
        <v>612</v>
      </c>
      <c r="C46" s="50">
        <v>935</v>
      </c>
      <c r="D46" s="50">
        <v>260</v>
      </c>
      <c r="E46" s="43">
        <v>0.62409999999999999</v>
      </c>
      <c r="F46" s="43">
        <v>0.95340000000000003</v>
      </c>
      <c r="G46" s="43">
        <v>0.2651</v>
      </c>
      <c r="H46" s="50" t="s">
        <v>137</v>
      </c>
    </row>
    <row r="47" spans="1:8" x14ac:dyDescent="0.25">
      <c r="A47" s="50">
        <v>0.38</v>
      </c>
      <c r="B47" s="50">
        <v>765</v>
      </c>
      <c r="C47" s="50">
        <v>875</v>
      </c>
      <c r="D47" s="50">
        <v>225</v>
      </c>
      <c r="E47" s="43">
        <v>0.78010000000000002</v>
      </c>
      <c r="F47" s="43">
        <v>0.89229999999999998</v>
      </c>
      <c r="G47" s="43">
        <v>0.22939999999999999</v>
      </c>
      <c r="H47" s="50"/>
    </row>
    <row r="48" spans="1:8" x14ac:dyDescent="0.25">
      <c r="A48" s="50">
        <v>0.4</v>
      </c>
      <c r="B48" s="50">
        <v>842</v>
      </c>
      <c r="C48" s="50">
        <v>1150</v>
      </c>
      <c r="D48" s="50">
        <v>198</v>
      </c>
      <c r="E48" s="43">
        <v>0.85860000000000003</v>
      </c>
      <c r="F48" s="43">
        <v>1.1727000000000001</v>
      </c>
      <c r="G48" s="43">
        <v>0.2019</v>
      </c>
      <c r="H48" s="51"/>
    </row>
    <row r="49" spans="1:8" x14ac:dyDescent="0.25">
      <c r="A49" s="50">
        <v>0.42</v>
      </c>
      <c r="B49" s="50">
        <v>892</v>
      </c>
      <c r="C49" s="50">
        <v>1335</v>
      </c>
      <c r="D49" s="50">
        <v>175</v>
      </c>
      <c r="E49" s="43">
        <v>0.90959999999999996</v>
      </c>
      <c r="F49" s="43">
        <v>1.3613</v>
      </c>
      <c r="G49" s="43">
        <v>0.1784</v>
      </c>
      <c r="H49" s="51"/>
    </row>
    <row r="50" spans="1:8" x14ac:dyDescent="0.25">
      <c r="A50" s="50">
        <v>0.44</v>
      </c>
      <c r="B50" s="50">
        <v>805</v>
      </c>
      <c r="C50" s="50">
        <v>1280</v>
      </c>
      <c r="D50" s="50">
        <v>175</v>
      </c>
      <c r="E50" s="43">
        <v>0.82089999999999996</v>
      </c>
      <c r="F50" s="43">
        <v>1.3051999999999999</v>
      </c>
      <c r="G50" s="43">
        <v>0.1784</v>
      </c>
      <c r="H50" s="51"/>
    </row>
    <row r="51" spans="1:8" x14ac:dyDescent="0.25">
      <c r="A51" s="50">
        <v>0.46</v>
      </c>
      <c r="B51" s="50">
        <v>850</v>
      </c>
      <c r="C51" s="50">
        <v>1350</v>
      </c>
      <c r="D51" s="50">
        <v>172</v>
      </c>
      <c r="E51" s="43">
        <v>0.86680000000000001</v>
      </c>
      <c r="F51" s="43">
        <v>1.3766</v>
      </c>
      <c r="G51" s="43">
        <v>0.1754</v>
      </c>
      <c r="H51" s="51"/>
    </row>
    <row r="52" spans="1:8" x14ac:dyDescent="0.25">
      <c r="A52" s="50">
        <v>0.5</v>
      </c>
      <c r="B52" s="50">
        <v>1100</v>
      </c>
      <c r="C52" s="50">
        <v>1620</v>
      </c>
      <c r="D52" s="50">
        <v>178</v>
      </c>
      <c r="E52" s="43">
        <v>1.1216999999999999</v>
      </c>
      <c r="F52" s="43">
        <v>1.6518999999999999</v>
      </c>
      <c r="G52" s="43">
        <v>0.18149999999999999</v>
      </c>
      <c r="H52" s="51"/>
    </row>
    <row r="53" spans="1:8" x14ac:dyDescent="0.25">
      <c r="A53" s="50">
        <v>0.52</v>
      </c>
      <c r="B53" s="50">
        <v>1410</v>
      </c>
      <c r="C53" s="50">
        <v>1800</v>
      </c>
      <c r="D53" s="50">
        <v>165</v>
      </c>
      <c r="E53" s="43">
        <v>1.4378</v>
      </c>
      <c r="F53" s="43">
        <v>1.8354999999999999</v>
      </c>
      <c r="G53" s="43">
        <v>0.16819999999999999</v>
      </c>
      <c r="H53" s="50"/>
    </row>
    <row r="54" spans="1:8" x14ac:dyDescent="0.25">
      <c r="A54" s="50">
        <v>0.54</v>
      </c>
      <c r="B54" s="50">
        <v>1480</v>
      </c>
      <c r="C54" s="50">
        <v>1995</v>
      </c>
      <c r="D54" s="50">
        <v>138</v>
      </c>
      <c r="E54" s="43">
        <v>1.5092000000000001</v>
      </c>
      <c r="F54" s="43">
        <v>2.0343</v>
      </c>
      <c r="G54" s="43">
        <v>0.14069999999999999</v>
      </c>
      <c r="H54" s="51" t="s">
        <v>138</v>
      </c>
    </row>
    <row r="55" spans="1:8" x14ac:dyDescent="0.25">
      <c r="A55" s="50">
        <v>0.56000000000000005</v>
      </c>
      <c r="B55" s="50">
        <v>1625</v>
      </c>
      <c r="C55" s="50">
        <v>1900</v>
      </c>
      <c r="D55" s="50">
        <v>118</v>
      </c>
      <c r="E55" s="43">
        <v>1.657</v>
      </c>
      <c r="F55" s="43">
        <v>1.9375</v>
      </c>
      <c r="G55" s="43">
        <v>0.1203</v>
      </c>
      <c r="H55" s="51" t="s">
        <v>139</v>
      </c>
    </row>
    <row r="56" spans="1:8" x14ac:dyDescent="0.25">
      <c r="A56" s="50">
        <v>0.57999999999999996</v>
      </c>
      <c r="B56" s="50">
        <v>1360</v>
      </c>
      <c r="C56" s="50">
        <v>2000</v>
      </c>
      <c r="D56" s="50">
        <v>132</v>
      </c>
      <c r="E56" s="43">
        <v>1.3868</v>
      </c>
      <c r="F56" s="43">
        <v>2.0394000000000001</v>
      </c>
      <c r="G56" s="43">
        <v>0.1346</v>
      </c>
      <c r="H56" s="51" t="s">
        <v>140</v>
      </c>
    </row>
    <row r="57" spans="1:8" x14ac:dyDescent="0.25">
      <c r="A57" s="50">
        <v>0.6</v>
      </c>
      <c r="B57" s="50">
        <v>1480</v>
      </c>
      <c r="C57" s="50">
        <v>1930</v>
      </c>
      <c r="D57" s="50">
        <v>122</v>
      </c>
      <c r="E57" s="43">
        <v>1.5092000000000001</v>
      </c>
      <c r="F57" s="43">
        <v>1.968</v>
      </c>
      <c r="G57" s="43">
        <v>0.1244</v>
      </c>
      <c r="H57" s="51"/>
    </row>
    <row r="58" spans="1:8" x14ac:dyDescent="0.25">
      <c r="A58" s="50">
        <v>0.65</v>
      </c>
      <c r="B58" s="50">
        <v>1120</v>
      </c>
      <c r="C58" s="50">
        <v>1300</v>
      </c>
      <c r="D58" s="50">
        <v>108</v>
      </c>
      <c r="E58" s="43">
        <v>1.1420999999999999</v>
      </c>
      <c r="F58" s="43">
        <v>1.3255999999999999</v>
      </c>
      <c r="G58" s="43">
        <v>0.1101</v>
      </c>
      <c r="H58" s="51" t="s">
        <v>141</v>
      </c>
    </row>
    <row r="59" spans="1:8" x14ac:dyDescent="0.25">
      <c r="A59" s="50">
        <v>0.7</v>
      </c>
      <c r="B59" s="50">
        <v>680</v>
      </c>
      <c r="C59" s="50">
        <v>750</v>
      </c>
      <c r="D59" s="50">
        <v>135</v>
      </c>
      <c r="E59" s="43">
        <v>0.69340000000000002</v>
      </c>
      <c r="F59" s="43">
        <v>0.76480000000000004</v>
      </c>
      <c r="G59" s="43">
        <v>0.13769999999999999</v>
      </c>
      <c r="H59" s="51"/>
    </row>
    <row r="60" spans="1:8" x14ac:dyDescent="0.25">
      <c r="A60" s="50">
        <v>0.75</v>
      </c>
      <c r="B60" s="50">
        <v>560</v>
      </c>
      <c r="C60" s="50">
        <v>522</v>
      </c>
      <c r="D60" s="50">
        <v>125</v>
      </c>
      <c r="E60" s="43">
        <v>0.57099999999999995</v>
      </c>
      <c r="F60" s="43">
        <v>0.5323</v>
      </c>
      <c r="G60" s="43">
        <v>0.1275</v>
      </c>
      <c r="H60" s="51"/>
    </row>
    <row r="61" spans="1:8" x14ac:dyDescent="0.25">
      <c r="A61" s="50">
        <v>0.8</v>
      </c>
      <c r="B61" s="50">
        <v>450</v>
      </c>
      <c r="C61" s="50">
        <v>480</v>
      </c>
      <c r="D61" s="50">
        <v>85</v>
      </c>
      <c r="E61" s="43">
        <v>0.45889999999999997</v>
      </c>
      <c r="F61" s="43">
        <v>0.48949999999999999</v>
      </c>
      <c r="G61" s="43">
        <v>8.6699999999999999E-2</v>
      </c>
      <c r="H61" s="51"/>
    </row>
    <row r="62" spans="1:8" x14ac:dyDescent="0.25">
      <c r="A62" s="50">
        <v>0.85</v>
      </c>
      <c r="B62" s="50">
        <v>312</v>
      </c>
      <c r="C62" s="50">
        <v>345</v>
      </c>
      <c r="D62" s="50">
        <v>62</v>
      </c>
      <c r="E62" s="43">
        <v>0.31809999999999999</v>
      </c>
      <c r="F62" s="43">
        <v>0.3518</v>
      </c>
      <c r="G62" s="43">
        <v>6.3200000000000006E-2</v>
      </c>
      <c r="H62" s="51"/>
    </row>
    <row r="63" spans="1:8" x14ac:dyDescent="0.25">
      <c r="A63" s="50">
        <v>0.9</v>
      </c>
      <c r="B63" s="50">
        <v>225</v>
      </c>
      <c r="C63" s="50">
        <v>280</v>
      </c>
      <c r="D63" s="50">
        <v>63</v>
      </c>
      <c r="E63" s="43">
        <v>0.22939999999999999</v>
      </c>
      <c r="F63" s="43">
        <v>0.28549999999999998</v>
      </c>
      <c r="G63" s="43">
        <v>6.4199999999999993E-2</v>
      </c>
      <c r="H63" s="51"/>
    </row>
    <row r="64" spans="1:8" x14ac:dyDescent="0.25">
      <c r="A64" s="50">
        <v>0.95</v>
      </c>
      <c r="B64" s="50">
        <v>178</v>
      </c>
      <c r="C64" s="50">
        <v>235</v>
      </c>
      <c r="D64" s="50">
        <v>60</v>
      </c>
      <c r="E64" s="43">
        <v>0.18149999999999999</v>
      </c>
      <c r="F64" s="43">
        <v>0.23960000000000001</v>
      </c>
      <c r="G64" s="43">
        <v>6.1199999999999997E-2</v>
      </c>
      <c r="H64" s="51"/>
    </row>
    <row r="65" spans="1:8" x14ac:dyDescent="0.25">
      <c r="A65" s="50">
        <v>1</v>
      </c>
      <c r="B65" s="50">
        <v>142</v>
      </c>
      <c r="C65" s="50">
        <v>225</v>
      </c>
      <c r="D65" s="50">
        <v>42</v>
      </c>
      <c r="E65" s="43">
        <v>0.14480000000000001</v>
      </c>
      <c r="F65" s="43">
        <v>0.22939999999999999</v>
      </c>
      <c r="G65" s="43">
        <v>4.2799999999999998E-2</v>
      </c>
      <c r="H65" s="51" t="s">
        <v>120</v>
      </c>
    </row>
    <row r="66" spans="1:8" x14ac:dyDescent="0.25">
      <c r="A66" s="50">
        <v>1.1000000000000001</v>
      </c>
      <c r="B66" s="50">
        <v>115</v>
      </c>
      <c r="C66" s="50">
        <v>200</v>
      </c>
      <c r="D66" s="50">
        <v>38</v>
      </c>
      <c r="E66" s="43">
        <v>0.1173</v>
      </c>
      <c r="F66" s="43">
        <v>0.2039</v>
      </c>
      <c r="G66" s="43">
        <v>3.8699999999999998E-2</v>
      </c>
      <c r="H66" s="51"/>
    </row>
    <row r="67" spans="1:8" x14ac:dyDescent="0.25">
      <c r="A67" s="50">
        <v>1.2</v>
      </c>
      <c r="B67" s="50">
        <v>108</v>
      </c>
      <c r="C67" s="50">
        <v>185</v>
      </c>
      <c r="D67" s="50">
        <v>40</v>
      </c>
      <c r="E67" s="43">
        <v>0.1101</v>
      </c>
      <c r="F67" s="43">
        <v>0.18859999999999999</v>
      </c>
      <c r="G67" s="43">
        <v>4.0800000000000003E-2</v>
      </c>
      <c r="H67" s="51"/>
    </row>
    <row r="68" spans="1:8" x14ac:dyDescent="0.25">
      <c r="A68" s="50">
        <v>1.3</v>
      </c>
      <c r="B68" s="50">
        <v>110</v>
      </c>
      <c r="C68" s="50">
        <v>120</v>
      </c>
      <c r="D68" s="50">
        <v>32</v>
      </c>
      <c r="E68" s="43">
        <v>0.11219999999999999</v>
      </c>
      <c r="F68" s="43">
        <v>0.12239999999999999</v>
      </c>
      <c r="G68" s="43">
        <v>3.2599999999999997E-2</v>
      </c>
      <c r="H68" s="51"/>
    </row>
    <row r="69" spans="1:8" x14ac:dyDescent="0.25">
      <c r="A69" s="50">
        <v>1.4</v>
      </c>
      <c r="B69" s="50">
        <v>102</v>
      </c>
      <c r="C69" s="50">
        <v>102</v>
      </c>
      <c r="D69" s="50">
        <v>30</v>
      </c>
      <c r="E69" s="43">
        <v>0.104</v>
      </c>
      <c r="F69" s="43">
        <v>0.104</v>
      </c>
      <c r="G69" s="43">
        <v>3.0599999999999999E-2</v>
      </c>
      <c r="H69" s="50"/>
    </row>
    <row r="70" spans="1:8" x14ac:dyDescent="0.25">
      <c r="A70">
        <v>1.5</v>
      </c>
      <c r="B70">
        <v>108</v>
      </c>
      <c r="C70">
        <v>90</v>
      </c>
      <c r="D70">
        <v>28</v>
      </c>
      <c r="E70" s="43">
        <v>0.1101</v>
      </c>
      <c r="F70" s="43">
        <v>9.1800000000000007E-2</v>
      </c>
      <c r="G70" s="43">
        <v>2.86E-2</v>
      </c>
    </row>
    <row r="71" spans="1:8" x14ac:dyDescent="0.25">
      <c r="A71">
        <v>1.6</v>
      </c>
      <c r="B71">
        <v>80</v>
      </c>
      <c r="C71">
        <v>82</v>
      </c>
      <c r="D71">
        <v>18</v>
      </c>
      <c r="E71" s="43">
        <v>8.1600000000000006E-2</v>
      </c>
      <c r="F71" s="43">
        <v>8.3599999999999994E-2</v>
      </c>
      <c r="G71" s="43">
        <v>1.84E-2</v>
      </c>
    </row>
    <row r="72" spans="1:8" x14ac:dyDescent="0.25">
      <c r="A72">
        <v>1.8</v>
      </c>
      <c r="B72">
        <v>55</v>
      </c>
      <c r="C72">
        <v>52</v>
      </c>
      <c r="D72">
        <v>20</v>
      </c>
      <c r="E72" s="43">
        <v>5.6099999999999997E-2</v>
      </c>
      <c r="F72" s="43">
        <v>5.2999999999999999E-2</v>
      </c>
      <c r="G72" s="43">
        <v>2.0400000000000001E-2</v>
      </c>
    </row>
    <row r="73" spans="1:8" x14ac:dyDescent="0.25">
      <c r="A73">
        <v>2</v>
      </c>
      <c r="B73">
        <v>55</v>
      </c>
      <c r="C73">
        <v>58</v>
      </c>
      <c r="D73">
        <v>21</v>
      </c>
      <c r="E73" s="43">
        <v>5.6099999999999997E-2</v>
      </c>
      <c r="F73" s="43">
        <v>5.91E-2</v>
      </c>
      <c r="G73" s="43">
        <v>2.1399999999999999E-2</v>
      </c>
    </row>
    <row r="74" spans="1:8" x14ac:dyDescent="0.25">
      <c r="A74">
        <v>2.2000000000000002</v>
      </c>
      <c r="B74">
        <v>48</v>
      </c>
      <c r="C74">
        <v>50</v>
      </c>
      <c r="D74">
        <v>15</v>
      </c>
      <c r="E74" s="43">
        <v>4.8899999999999999E-2</v>
      </c>
      <c r="F74" s="43">
        <v>5.0999999999999997E-2</v>
      </c>
      <c r="G74" s="43">
        <v>1.5299999999999999E-2</v>
      </c>
    </row>
    <row r="75" spans="1:8" x14ac:dyDescent="0.25">
      <c r="A75">
        <v>2.5</v>
      </c>
      <c r="B75">
        <v>32</v>
      </c>
      <c r="C75">
        <v>28</v>
      </c>
      <c r="D75">
        <v>8</v>
      </c>
      <c r="E75" s="43">
        <v>3.2599999999999997E-2</v>
      </c>
      <c r="F75" s="43">
        <v>2.86E-2</v>
      </c>
      <c r="G75" s="43">
        <v>8.2000000000000007E-3</v>
      </c>
    </row>
    <row r="76" spans="1:8" x14ac:dyDescent="0.25">
      <c r="A76">
        <v>2.8</v>
      </c>
      <c r="B76">
        <v>25</v>
      </c>
      <c r="C76">
        <v>22</v>
      </c>
      <c r="D76">
        <v>6</v>
      </c>
      <c r="E76" s="43">
        <v>2.5499999999999998E-2</v>
      </c>
      <c r="F76" s="43">
        <v>2.24E-2</v>
      </c>
      <c r="G76" s="43">
        <v>6.1000000000000004E-3</v>
      </c>
    </row>
    <row r="77" spans="1:8" x14ac:dyDescent="0.25">
      <c r="A77">
        <v>3</v>
      </c>
      <c r="B77">
        <v>26</v>
      </c>
      <c r="C77">
        <v>20</v>
      </c>
      <c r="D77">
        <v>5</v>
      </c>
      <c r="E77" s="43">
        <v>2.6499999999999999E-2</v>
      </c>
      <c r="F77" s="43">
        <v>2.0400000000000001E-2</v>
      </c>
      <c r="G77" s="43">
        <v>5.1000000000000004E-3</v>
      </c>
    </row>
    <row r="78" spans="1:8" x14ac:dyDescent="0.25">
      <c r="A78">
        <v>3.5</v>
      </c>
      <c r="B78">
        <v>15</v>
      </c>
      <c r="C78">
        <v>16</v>
      </c>
      <c r="D78">
        <v>4</v>
      </c>
      <c r="E78" s="43">
        <v>1.5299999999999999E-2</v>
      </c>
      <c r="F78" s="43">
        <v>1.6299999999999999E-2</v>
      </c>
      <c r="G78" s="43">
        <v>4.1000000000000003E-3</v>
      </c>
    </row>
    <row r="79" spans="1:8" x14ac:dyDescent="0.25">
      <c r="A79">
        <v>4</v>
      </c>
      <c r="B79">
        <v>12</v>
      </c>
      <c r="C79">
        <v>12</v>
      </c>
      <c r="D79">
        <v>3</v>
      </c>
      <c r="E79" s="43">
        <v>1.2200000000000001E-2</v>
      </c>
      <c r="F79" s="43">
        <v>1.2200000000000001E-2</v>
      </c>
      <c r="G79" s="43">
        <v>3.0999999999999999E-3</v>
      </c>
    </row>
    <row r="80" spans="1:8" x14ac:dyDescent="0.25">
      <c r="A80">
        <v>4.5</v>
      </c>
      <c r="B80">
        <v>8</v>
      </c>
      <c r="C80">
        <v>10</v>
      </c>
      <c r="D80">
        <v>2</v>
      </c>
      <c r="E80" s="43">
        <v>8.2000000000000007E-3</v>
      </c>
      <c r="F80" s="43">
        <v>1.0200000000000001E-2</v>
      </c>
      <c r="G80" s="43">
        <v>2E-3</v>
      </c>
    </row>
    <row r="81" spans="1:8" x14ac:dyDescent="0.25">
      <c r="A81">
        <v>5</v>
      </c>
      <c r="B81">
        <v>6</v>
      </c>
      <c r="C81">
        <v>8</v>
      </c>
      <c r="D81">
        <v>2</v>
      </c>
      <c r="E81" s="43">
        <v>6.1000000000000004E-3</v>
      </c>
      <c r="F81" s="43">
        <v>8.2000000000000007E-3</v>
      </c>
      <c r="G81" s="43">
        <v>2E-3</v>
      </c>
      <c r="H81" t="s">
        <v>142</v>
      </c>
    </row>
  </sheetData>
  <conditionalFormatting sqref="E3:G81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A6CF-7213-49CB-B40E-D127B85B83D2}">
  <sheetPr>
    <tabColor rgb="FFFFFF00"/>
  </sheetPr>
  <dimension ref="A1:L69"/>
  <sheetViews>
    <sheetView showGridLines="0" workbookViewId="0">
      <pane xSplit="1" ySplit="2" topLeftCell="B3" activePane="bottomRight" state="frozen"/>
      <selection activeCell="G3" sqref="G3"/>
      <selection pane="topRight" activeCell="G3" sqref="G3"/>
      <selection pane="bottomLeft" activeCell="G3" sqref="G3"/>
      <selection pane="bottomRight" activeCell="B3" sqref="B3"/>
    </sheetView>
  </sheetViews>
  <sheetFormatPr baseColWidth="10" defaultRowHeight="15" x14ac:dyDescent="0.25"/>
  <cols>
    <col min="8" max="8" width="35.7109375" bestFit="1" customWidth="1"/>
  </cols>
  <sheetData>
    <row r="1" spans="1:8" ht="20.25" thickBot="1" x14ac:dyDescent="0.35">
      <c r="A1" s="42" t="s">
        <v>143</v>
      </c>
    </row>
    <row r="2" spans="1:8" ht="39.75" thickTop="1" x14ac:dyDescent="0.25">
      <c r="A2" s="49" t="s">
        <v>89</v>
      </c>
      <c r="B2" s="49" t="s">
        <v>90</v>
      </c>
      <c r="C2" s="49" t="s">
        <v>91</v>
      </c>
      <c r="D2" s="49" t="s">
        <v>92</v>
      </c>
      <c r="E2" s="49" t="s">
        <v>144</v>
      </c>
      <c r="F2" s="49" t="s">
        <v>145</v>
      </c>
      <c r="G2" s="49" t="s">
        <v>146</v>
      </c>
      <c r="H2" s="49" t="s">
        <v>125</v>
      </c>
    </row>
    <row r="3" spans="1:8" x14ac:dyDescent="0.25">
      <c r="A3" s="50">
        <v>0.01</v>
      </c>
      <c r="B3" s="50">
        <v>425</v>
      </c>
      <c r="C3" s="50">
        <v>272</v>
      </c>
      <c r="D3" s="50">
        <v>105</v>
      </c>
      <c r="E3" s="53">
        <v>0.43340000000000001</v>
      </c>
      <c r="F3" s="53">
        <v>0.27739999999999998</v>
      </c>
      <c r="G3" s="53">
        <v>0.1071</v>
      </c>
      <c r="H3" s="50" t="s">
        <v>147</v>
      </c>
    </row>
    <row r="4" spans="1:8" x14ac:dyDescent="0.25">
      <c r="A4" s="50">
        <v>1.2E-2</v>
      </c>
      <c r="B4" s="50">
        <v>435</v>
      </c>
      <c r="C4" s="50">
        <v>273</v>
      </c>
      <c r="D4" s="50">
        <v>108</v>
      </c>
      <c r="E4" s="53">
        <v>0.44359999999999999</v>
      </c>
      <c r="F4" s="53">
        <v>0.27839999999999998</v>
      </c>
      <c r="G4" s="53">
        <v>0.1101</v>
      </c>
      <c r="H4" s="51"/>
    </row>
    <row r="5" spans="1:8" x14ac:dyDescent="0.25">
      <c r="A5" s="50">
        <v>1.4999999999999999E-2</v>
      </c>
      <c r="B5" s="50">
        <v>438</v>
      </c>
      <c r="C5" s="50">
        <v>275</v>
      </c>
      <c r="D5" s="50">
        <v>106</v>
      </c>
      <c r="E5" s="53">
        <v>0.4466</v>
      </c>
      <c r="F5" s="53">
        <v>0.28039999999999998</v>
      </c>
      <c r="G5" s="53">
        <v>0.1081</v>
      </c>
      <c r="H5" s="51"/>
    </row>
    <row r="6" spans="1:8" x14ac:dyDescent="0.25">
      <c r="A6" s="50">
        <v>1.7999999999999999E-2</v>
      </c>
      <c r="B6" s="50">
        <v>445</v>
      </c>
      <c r="C6" s="50">
        <v>278</v>
      </c>
      <c r="D6" s="50">
        <v>118</v>
      </c>
      <c r="E6" s="53">
        <v>0.45379999999999998</v>
      </c>
      <c r="F6" s="53">
        <v>0.28349999999999997</v>
      </c>
      <c r="G6" s="53">
        <v>0.1203</v>
      </c>
      <c r="H6" s="51"/>
    </row>
    <row r="7" spans="1:8" x14ac:dyDescent="0.25">
      <c r="A7" s="50">
        <v>0.02</v>
      </c>
      <c r="B7" s="50">
        <v>450</v>
      </c>
      <c r="C7" s="50">
        <v>280</v>
      </c>
      <c r="D7" s="50">
        <v>135</v>
      </c>
      <c r="E7" s="53">
        <v>0.45889999999999997</v>
      </c>
      <c r="F7" s="53">
        <v>0.28549999999999998</v>
      </c>
      <c r="G7" s="53">
        <v>0.13769999999999999</v>
      </c>
      <c r="H7" s="51"/>
    </row>
    <row r="8" spans="1:8" x14ac:dyDescent="0.25">
      <c r="A8" s="50">
        <v>2.5000000000000001E-2</v>
      </c>
      <c r="B8" s="50">
        <v>470</v>
      </c>
      <c r="C8" s="50">
        <v>285</v>
      </c>
      <c r="D8" s="50">
        <v>142</v>
      </c>
      <c r="E8" s="53">
        <v>0.4793</v>
      </c>
      <c r="F8" s="53">
        <v>0.29060000000000002</v>
      </c>
      <c r="G8" s="53">
        <v>0.14480000000000001</v>
      </c>
      <c r="H8" s="51"/>
    </row>
    <row r="9" spans="1:8" x14ac:dyDescent="0.25">
      <c r="A9" s="50">
        <v>0.03</v>
      </c>
      <c r="B9" s="50">
        <v>482</v>
      </c>
      <c r="C9" s="50">
        <v>290</v>
      </c>
      <c r="D9" s="50">
        <v>124</v>
      </c>
      <c r="E9" s="53">
        <v>0.49149999999999999</v>
      </c>
      <c r="F9" s="53">
        <v>0.29570000000000002</v>
      </c>
      <c r="G9" s="53">
        <v>0.12640000000000001</v>
      </c>
      <c r="H9" s="50" t="s">
        <v>148</v>
      </c>
    </row>
    <row r="10" spans="1:8" x14ac:dyDescent="0.25">
      <c r="A10" s="50">
        <v>3.5000000000000003E-2</v>
      </c>
      <c r="B10" s="50">
        <v>498</v>
      </c>
      <c r="C10" s="50">
        <v>302</v>
      </c>
      <c r="D10" s="50">
        <v>138</v>
      </c>
      <c r="E10" s="53">
        <v>0.50780000000000003</v>
      </c>
      <c r="F10" s="53">
        <v>0.30790000000000001</v>
      </c>
      <c r="G10" s="53">
        <v>0.14069999999999999</v>
      </c>
      <c r="H10" s="51"/>
    </row>
    <row r="11" spans="1:8" x14ac:dyDescent="0.25">
      <c r="A11" s="50">
        <v>0.04</v>
      </c>
      <c r="B11" s="50">
        <v>492</v>
      </c>
      <c r="C11" s="50">
        <v>312</v>
      </c>
      <c r="D11" s="50">
        <v>132</v>
      </c>
      <c r="E11" s="53">
        <v>0.50170000000000003</v>
      </c>
      <c r="F11" s="53">
        <v>0.31809999999999999</v>
      </c>
      <c r="G11" s="53">
        <v>0.1346</v>
      </c>
      <c r="H11" s="51"/>
    </row>
    <row r="12" spans="1:8" x14ac:dyDescent="0.25">
      <c r="A12" s="50">
        <v>4.4999999999999998E-2</v>
      </c>
      <c r="B12" s="50">
        <v>525</v>
      </c>
      <c r="C12" s="50">
        <v>320</v>
      </c>
      <c r="D12" s="50">
        <v>128</v>
      </c>
      <c r="E12" s="53">
        <v>0.5353</v>
      </c>
      <c r="F12" s="53">
        <v>0.32629999999999998</v>
      </c>
      <c r="G12" s="53">
        <v>0.1305</v>
      </c>
      <c r="H12" s="51"/>
    </row>
    <row r="13" spans="1:8" x14ac:dyDescent="0.25">
      <c r="A13" s="50">
        <v>0.05</v>
      </c>
      <c r="B13" s="50">
        <v>500</v>
      </c>
      <c r="C13" s="50">
        <v>328</v>
      </c>
      <c r="D13" s="50">
        <v>128</v>
      </c>
      <c r="E13" s="53">
        <v>0.50990000000000002</v>
      </c>
      <c r="F13" s="53">
        <v>0.33450000000000002</v>
      </c>
      <c r="G13" s="53">
        <v>0.1305</v>
      </c>
      <c r="H13" s="51"/>
    </row>
    <row r="14" spans="1:8" x14ac:dyDescent="0.25">
      <c r="A14" s="50">
        <v>5.5E-2</v>
      </c>
      <c r="B14" s="50">
        <v>525</v>
      </c>
      <c r="C14" s="50">
        <v>340</v>
      </c>
      <c r="D14" s="50">
        <v>155</v>
      </c>
      <c r="E14" s="53">
        <v>0.5353</v>
      </c>
      <c r="F14" s="53">
        <v>0.34670000000000001</v>
      </c>
      <c r="G14" s="53">
        <v>0.15809999999999999</v>
      </c>
      <c r="H14" s="51"/>
    </row>
    <row r="15" spans="1:8" x14ac:dyDescent="0.25">
      <c r="A15" s="50">
        <v>0.06</v>
      </c>
      <c r="B15" s="50">
        <v>540</v>
      </c>
      <c r="C15" s="50">
        <v>332</v>
      </c>
      <c r="D15" s="50">
        <v>168</v>
      </c>
      <c r="E15" s="53">
        <v>0.55059999999999998</v>
      </c>
      <c r="F15" s="53">
        <v>0.33850000000000002</v>
      </c>
      <c r="G15" s="53">
        <v>0.17130000000000001</v>
      </c>
      <c r="H15" s="51"/>
    </row>
    <row r="16" spans="1:8" x14ac:dyDescent="0.25">
      <c r="A16" s="50">
        <v>6.5000000000000002E-2</v>
      </c>
      <c r="B16" s="50">
        <v>510</v>
      </c>
      <c r="C16" s="50">
        <v>332</v>
      </c>
      <c r="D16" s="50">
        <v>192</v>
      </c>
      <c r="E16" s="53">
        <v>0.52010000000000001</v>
      </c>
      <c r="F16" s="53">
        <v>0.33850000000000002</v>
      </c>
      <c r="G16" s="53">
        <v>0.1958</v>
      </c>
      <c r="H16" s="51"/>
    </row>
    <row r="17" spans="1:12" x14ac:dyDescent="0.25">
      <c r="A17" s="50">
        <v>7.0000000000000007E-2</v>
      </c>
      <c r="B17" s="50">
        <v>575</v>
      </c>
      <c r="C17" s="50">
        <v>348</v>
      </c>
      <c r="D17" s="50">
        <v>212</v>
      </c>
      <c r="E17" s="53">
        <v>0.58630000000000004</v>
      </c>
      <c r="F17" s="53">
        <v>0.3548</v>
      </c>
      <c r="G17" s="53">
        <v>0.2162</v>
      </c>
      <c r="H17" s="51"/>
    </row>
    <row r="18" spans="1:12" x14ac:dyDescent="0.25">
      <c r="A18" s="50">
        <v>7.4999999999999997E-2</v>
      </c>
      <c r="B18" s="50">
        <v>572</v>
      </c>
      <c r="C18" s="50">
        <v>342</v>
      </c>
      <c r="D18" s="50">
        <v>192</v>
      </c>
      <c r="E18" s="53">
        <v>0.58330000000000004</v>
      </c>
      <c r="F18" s="53">
        <v>0.34870000000000001</v>
      </c>
      <c r="G18" s="53">
        <v>0.1958</v>
      </c>
      <c r="H18" s="51"/>
    </row>
    <row r="19" spans="1:12" x14ac:dyDescent="0.25">
      <c r="A19" s="50">
        <v>0.08</v>
      </c>
      <c r="B19" s="50">
        <v>530</v>
      </c>
      <c r="C19" s="50">
        <v>385</v>
      </c>
      <c r="D19" s="50">
        <v>218</v>
      </c>
      <c r="E19" s="53">
        <v>0.54039999999999999</v>
      </c>
      <c r="F19" s="53">
        <v>0.3926</v>
      </c>
      <c r="G19" s="53">
        <v>0.2223</v>
      </c>
      <c r="H19" s="51"/>
    </row>
    <row r="20" spans="1:12" x14ac:dyDescent="0.25">
      <c r="A20" s="50">
        <v>8.5000000000000006E-2</v>
      </c>
      <c r="B20" s="50">
        <v>560</v>
      </c>
      <c r="C20" s="50">
        <v>395</v>
      </c>
      <c r="D20" s="50">
        <v>208</v>
      </c>
      <c r="E20" s="53">
        <v>0.57099999999999995</v>
      </c>
      <c r="F20" s="53">
        <v>0.40279999999999999</v>
      </c>
      <c r="G20" s="53">
        <v>0.21210000000000001</v>
      </c>
      <c r="H20" s="51"/>
    </row>
    <row r="21" spans="1:12" x14ac:dyDescent="0.25">
      <c r="A21" s="50">
        <v>0.09</v>
      </c>
      <c r="B21" s="50">
        <v>562</v>
      </c>
      <c r="C21" s="50">
        <v>342</v>
      </c>
      <c r="D21" s="50">
        <v>192</v>
      </c>
      <c r="E21" s="53">
        <v>0.57310000000000005</v>
      </c>
      <c r="F21" s="53">
        <v>0.34870000000000001</v>
      </c>
      <c r="G21" s="53">
        <v>0.1958</v>
      </c>
      <c r="H21" s="51"/>
    </row>
    <row r="22" spans="1:12" x14ac:dyDescent="0.25">
      <c r="A22" s="50">
        <v>9.5000000000000001E-2</v>
      </c>
      <c r="B22" s="50">
        <v>488</v>
      </c>
      <c r="C22" s="50">
        <v>362</v>
      </c>
      <c r="D22" s="50">
        <v>202</v>
      </c>
      <c r="E22" s="53">
        <v>0.49759999999999999</v>
      </c>
      <c r="F22" s="53">
        <v>0.36909999999999998</v>
      </c>
      <c r="G22" s="53">
        <v>0.20599999999999999</v>
      </c>
      <c r="H22" s="50" t="s">
        <v>149</v>
      </c>
    </row>
    <row r="23" spans="1:12" x14ac:dyDescent="0.25">
      <c r="A23" s="50">
        <v>0.1</v>
      </c>
      <c r="B23" s="50">
        <v>540</v>
      </c>
      <c r="C23" s="50">
        <v>362</v>
      </c>
      <c r="D23" s="50">
        <v>180</v>
      </c>
      <c r="E23" s="53">
        <v>0.55059999999999998</v>
      </c>
      <c r="F23" s="53">
        <v>0.36909999999999998</v>
      </c>
      <c r="G23" s="53">
        <v>0.1835</v>
      </c>
      <c r="H23" s="50" t="s">
        <v>150</v>
      </c>
    </row>
    <row r="24" spans="1:12" x14ac:dyDescent="0.25">
      <c r="A24" s="50">
        <v>0.105</v>
      </c>
      <c r="B24" s="50">
        <v>620</v>
      </c>
      <c r="C24" s="50">
        <v>405</v>
      </c>
      <c r="D24" s="50">
        <v>202</v>
      </c>
      <c r="E24" s="53">
        <v>0.63219999999999998</v>
      </c>
      <c r="F24" s="53">
        <v>0.41299999999999998</v>
      </c>
      <c r="G24" s="53">
        <v>0.20599999999999999</v>
      </c>
      <c r="H24" s="51"/>
    </row>
    <row r="25" spans="1:12" x14ac:dyDescent="0.25">
      <c r="A25" s="50">
        <v>0.115</v>
      </c>
      <c r="B25" s="50">
        <v>725</v>
      </c>
      <c r="C25" s="50">
        <v>412</v>
      </c>
      <c r="D25" s="50">
        <v>225</v>
      </c>
      <c r="E25" s="53">
        <v>0.73929999999999996</v>
      </c>
      <c r="F25" s="53">
        <v>0.42009999999999997</v>
      </c>
      <c r="G25" s="53">
        <v>0.22939999999999999</v>
      </c>
      <c r="H25" s="50" t="s">
        <v>151</v>
      </c>
      <c r="I25" s="18" t="s">
        <v>152</v>
      </c>
    </row>
    <row r="26" spans="1:12" x14ac:dyDescent="0.25">
      <c r="A26" s="50">
        <v>0.125</v>
      </c>
      <c r="B26" s="50">
        <v>612</v>
      </c>
      <c r="C26" s="50">
        <v>522</v>
      </c>
      <c r="D26" s="50">
        <v>208</v>
      </c>
      <c r="E26" s="53">
        <v>0.62409999999999999</v>
      </c>
      <c r="F26" s="53">
        <v>0.5323</v>
      </c>
      <c r="G26" s="53">
        <v>0.21210000000000001</v>
      </c>
      <c r="H26" s="51"/>
      <c r="I26" s="44"/>
      <c r="J26" s="45" t="s">
        <v>103</v>
      </c>
      <c r="K26" s="45" t="s">
        <v>104</v>
      </c>
      <c r="L26" s="45" t="s">
        <v>105</v>
      </c>
    </row>
    <row r="27" spans="1:12" x14ac:dyDescent="0.25">
      <c r="A27" s="50">
        <v>0.13500000000000001</v>
      </c>
      <c r="B27" s="50">
        <v>600</v>
      </c>
      <c r="C27" s="50">
        <v>498</v>
      </c>
      <c r="D27" s="50">
        <v>215</v>
      </c>
      <c r="E27" s="53">
        <v>0.61180000000000001</v>
      </c>
      <c r="F27" s="53">
        <v>0.50780000000000003</v>
      </c>
      <c r="G27" s="53">
        <v>0.21920000000000001</v>
      </c>
      <c r="H27" s="51"/>
      <c r="I27" s="46" t="s">
        <v>107</v>
      </c>
      <c r="J27" s="47">
        <f>MAX(E3:E81)</f>
        <v>1.1114999999999999</v>
      </c>
      <c r="K27" s="47">
        <f>MAX(F3:F81)</f>
        <v>1.0687</v>
      </c>
      <c r="L27" s="47">
        <f>MAX(G3:G81)</f>
        <v>0.43640000000000001</v>
      </c>
    </row>
    <row r="28" spans="1:12" x14ac:dyDescent="0.25">
      <c r="A28" s="50">
        <v>0.14499999999999999</v>
      </c>
      <c r="B28" s="50">
        <v>455</v>
      </c>
      <c r="C28" s="50">
        <v>540</v>
      </c>
      <c r="D28" s="50">
        <v>238</v>
      </c>
      <c r="E28" s="53">
        <v>0.46400000000000002</v>
      </c>
      <c r="F28" s="53">
        <v>0.55059999999999998</v>
      </c>
      <c r="G28" s="53">
        <v>0.2427</v>
      </c>
      <c r="H28" s="51"/>
      <c r="I28" s="46" t="s">
        <v>108</v>
      </c>
      <c r="J28" s="44">
        <f>INDEX($A$3:$A$81,MATCH(J27,E$3:E$81,0))</f>
        <v>0.56000000000000005</v>
      </c>
      <c r="K28" s="44">
        <f>INDEX($A$3:$A$81,MATCH(K27,F$3:F$81,0))</f>
        <v>0.56000000000000005</v>
      </c>
      <c r="L28" s="44">
        <f>INDEX($A$3:$A$81,MATCH(L27,G$3:G$81,0))</f>
        <v>0.19</v>
      </c>
    </row>
    <row r="29" spans="1:12" x14ac:dyDescent="0.25">
      <c r="A29" s="50">
        <v>0.155</v>
      </c>
      <c r="B29" s="50">
        <v>542</v>
      </c>
      <c r="C29" s="50">
        <v>500</v>
      </c>
      <c r="D29" s="50">
        <v>280</v>
      </c>
      <c r="E29" s="53">
        <v>0.55269999999999997</v>
      </c>
      <c r="F29" s="53">
        <v>0.50990000000000002</v>
      </c>
      <c r="G29" s="53">
        <v>0.28549999999999998</v>
      </c>
      <c r="H29" s="51"/>
    </row>
    <row r="30" spans="1:12" x14ac:dyDescent="0.25">
      <c r="A30" s="50">
        <v>0.16500000000000001</v>
      </c>
      <c r="B30" s="50">
        <v>468</v>
      </c>
      <c r="C30" s="50">
        <v>525</v>
      </c>
      <c r="D30" s="50">
        <v>298</v>
      </c>
      <c r="E30" s="53">
        <v>0.47720000000000001</v>
      </c>
      <c r="F30" s="53">
        <v>0.5353</v>
      </c>
      <c r="G30" s="53">
        <v>0.3039</v>
      </c>
      <c r="H30" s="51"/>
    </row>
    <row r="31" spans="1:12" x14ac:dyDescent="0.25">
      <c r="A31" s="50">
        <v>0.17499999999999999</v>
      </c>
      <c r="B31" s="50">
        <v>538</v>
      </c>
      <c r="C31" s="50">
        <v>500</v>
      </c>
      <c r="D31" s="50">
        <v>300</v>
      </c>
      <c r="E31" s="53">
        <v>0.54859999999999998</v>
      </c>
      <c r="F31" s="53">
        <v>0.50990000000000002</v>
      </c>
      <c r="G31" s="53">
        <v>0.30590000000000001</v>
      </c>
      <c r="H31" s="51"/>
    </row>
    <row r="32" spans="1:12" x14ac:dyDescent="0.25">
      <c r="A32" s="50">
        <v>0.19</v>
      </c>
      <c r="B32" s="50">
        <v>715</v>
      </c>
      <c r="C32" s="50">
        <v>715</v>
      </c>
      <c r="D32" s="50">
        <v>428</v>
      </c>
      <c r="E32" s="53">
        <v>0.72909999999999997</v>
      </c>
      <c r="F32" s="53">
        <v>0.72909999999999997</v>
      </c>
      <c r="G32" s="53">
        <v>0.43640000000000001</v>
      </c>
      <c r="H32" s="50" t="s">
        <v>153</v>
      </c>
    </row>
    <row r="33" spans="1:8" x14ac:dyDescent="0.25">
      <c r="A33" s="50">
        <v>0.215</v>
      </c>
      <c r="B33" s="50">
        <v>645</v>
      </c>
      <c r="C33" s="50">
        <v>542</v>
      </c>
      <c r="D33" s="50">
        <v>325</v>
      </c>
      <c r="E33" s="53">
        <v>0.65769999999999995</v>
      </c>
      <c r="F33" s="53">
        <v>0.55269999999999997</v>
      </c>
      <c r="G33" s="53">
        <v>0.33139999999999997</v>
      </c>
      <c r="H33" s="51"/>
    </row>
    <row r="34" spans="1:8" x14ac:dyDescent="0.25">
      <c r="A34" s="50">
        <v>0.23</v>
      </c>
      <c r="B34" s="50">
        <v>662</v>
      </c>
      <c r="C34" s="50">
        <v>588</v>
      </c>
      <c r="D34" s="50">
        <v>360</v>
      </c>
      <c r="E34" s="53">
        <v>0.67510000000000003</v>
      </c>
      <c r="F34" s="53">
        <v>0.59960000000000002</v>
      </c>
      <c r="G34" s="53">
        <v>0.36709999999999998</v>
      </c>
      <c r="H34" s="51"/>
    </row>
    <row r="35" spans="1:8" x14ac:dyDescent="0.25">
      <c r="A35" s="50">
        <v>0.25</v>
      </c>
      <c r="B35" s="50">
        <v>640</v>
      </c>
      <c r="C35" s="50">
        <v>502</v>
      </c>
      <c r="D35" s="50">
        <v>320</v>
      </c>
      <c r="E35" s="53">
        <v>0.65259999999999996</v>
      </c>
      <c r="F35" s="53">
        <v>0.51190000000000002</v>
      </c>
      <c r="G35" s="53">
        <v>0.32629999999999998</v>
      </c>
      <c r="H35" s="51"/>
    </row>
    <row r="36" spans="1:8" x14ac:dyDescent="0.25">
      <c r="A36" s="50">
        <v>0.26500000000000001</v>
      </c>
      <c r="B36" s="50">
        <v>615</v>
      </c>
      <c r="C36" s="50">
        <v>492</v>
      </c>
      <c r="D36" s="50">
        <v>265</v>
      </c>
      <c r="E36" s="53">
        <v>0.62709999999999999</v>
      </c>
      <c r="F36" s="53">
        <v>0.50170000000000003</v>
      </c>
      <c r="G36" s="53">
        <v>0.2702</v>
      </c>
      <c r="H36" s="51"/>
    </row>
    <row r="37" spans="1:8" x14ac:dyDescent="0.25">
      <c r="A37" s="50">
        <v>0.28999999999999998</v>
      </c>
      <c r="B37" s="50">
        <v>682</v>
      </c>
      <c r="C37" s="50">
        <v>805</v>
      </c>
      <c r="D37" s="50">
        <v>325</v>
      </c>
      <c r="E37" s="53">
        <v>0.69540000000000002</v>
      </c>
      <c r="F37" s="53">
        <v>0.82089999999999996</v>
      </c>
      <c r="G37" s="53">
        <v>0.33139999999999997</v>
      </c>
      <c r="H37" s="50" t="s">
        <v>154</v>
      </c>
    </row>
    <row r="38" spans="1:8" x14ac:dyDescent="0.25">
      <c r="A38" s="50">
        <v>0.31</v>
      </c>
      <c r="B38" s="50">
        <v>965</v>
      </c>
      <c r="C38" s="50">
        <v>608</v>
      </c>
      <c r="D38" s="50">
        <v>290</v>
      </c>
      <c r="E38" s="53">
        <v>0.98399999999999999</v>
      </c>
      <c r="F38" s="53">
        <v>0.62</v>
      </c>
      <c r="G38" s="53">
        <v>0.29570000000000002</v>
      </c>
      <c r="H38" s="50" t="s">
        <v>155</v>
      </c>
    </row>
    <row r="39" spans="1:8" x14ac:dyDescent="0.25">
      <c r="A39" s="50">
        <v>0.34</v>
      </c>
      <c r="B39" s="50">
        <v>825</v>
      </c>
      <c r="C39" s="50">
        <v>712</v>
      </c>
      <c r="D39" s="50">
        <v>270</v>
      </c>
      <c r="E39" s="53">
        <v>0.84130000000000005</v>
      </c>
      <c r="F39" s="53">
        <v>0.72599999999999998</v>
      </c>
      <c r="G39" s="53">
        <v>0.27529999999999999</v>
      </c>
      <c r="H39" s="51"/>
    </row>
    <row r="40" spans="1:8" x14ac:dyDescent="0.25">
      <c r="A40" s="50">
        <v>0.38</v>
      </c>
      <c r="B40" s="50">
        <v>565</v>
      </c>
      <c r="C40" s="50">
        <v>522</v>
      </c>
      <c r="D40" s="50">
        <v>165</v>
      </c>
      <c r="E40" s="53">
        <v>0.57609999999999995</v>
      </c>
      <c r="F40" s="53">
        <v>0.5323</v>
      </c>
      <c r="G40" s="53">
        <v>0.16819999999999999</v>
      </c>
      <c r="H40" s="51"/>
    </row>
    <row r="41" spans="1:8" x14ac:dyDescent="0.25">
      <c r="A41" s="50">
        <v>0.4</v>
      </c>
      <c r="B41" s="50">
        <v>485</v>
      </c>
      <c r="C41" s="50">
        <v>535</v>
      </c>
      <c r="D41" s="50">
        <v>135</v>
      </c>
      <c r="E41" s="53">
        <v>0.49459999999999998</v>
      </c>
      <c r="F41" s="53">
        <v>0.54549999999999998</v>
      </c>
      <c r="G41" s="53">
        <v>0.13769999999999999</v>
      </c>
      <c r="H41" s="51"/>
    </row>
    <row r="42" spans="1:8" x14ac:dyDescent="0.25">
      <c r="A42" s="50">
        <v>0.42</v>
      </c>
      <c r="B42" s="50">
        <v>700</v>
      </c>
      <c r="C42" s="50">
        <v>605</v>
      </c>
      <c r="D42" s="50">
        <v>110</v>
      </c>
      <c r="E42" s="53">
        <v>0.71379999999999999</v>
      </c>
      <c r="F42" s="53">
        <v>0.6169</v>
      </c>
      <c r="G42" s="53">
        <v>0.11219999999999999</v>
      </c>
      <c r="H42" s="51"/>
    </row>
    <row r="43" spans="1:8" x14ac:dyDescent="0.25">
      <c r="A43" s="50">
        <v>0.46</v>
      </c>
      <c r="B43" s="50">
        <v>638</v>
      </c>
      <c r="C43" s="50">
        <v>650</v>
      </c>
      <c r="D43" s="50">
        <v>100</v>
      </c>
      <c r="E43" s="53">
        <v>0.65059999999999996</v>
      </c>
      <c r="F43" s="53">
        <v>0.66279999999999994</v>
      </c>
      <c r="G43" s="53">
        <v>0.10199999999999999</v>
      </c>
      <c r="H43" s="51"/>
    </row>
    <row r="44" spans="1:8" x14ac:dyDescent="0.25">
      <c r="A44" s="50">
        <v>0.48</v>
      </c>
      <c r="B44" s="50">
        <v>760</v>
      </c>
      <c r="C44" s="50">
        <v>680</v>
      </c>
      <c r="D44" s="50">
        <v>102</v>
      </c>
      <c r="E44" s="53">
        <v>0.77500000000000002</v>
      </c>
      <c r="F44" s="53">
        <v>0.69340000000000002</v>
      </c>
      <c r="G44" s="53">
        <v>0.104</v>
      </c>
      <c r="H44" s="50" t="s">
        <v>156</v>
      </c>
    </row>
    <row r="45" spans="1:8" x14ac:dyDescent="0.25">
      <c r="A45" s="50">
        <v>0.52</v>
      </c>
      <c r="B45" s="50">
        <v>945</v>
      </c>
      <c r="C45" s="50">
        <v>820</v>
      </c>
      <c r="D45" s="50">
        <v>85</v>
      </c>
      <c r="E45" s="53">
        <v>0.96360000000000001</v>
      </c>
      <c r="F45" s="53">
        <v>0.83620000000000005</v>
      </c>
      <c r="G45" s="53">
        <v>8.6699999999999999E-2</v>
      </c>
      <c r="H45" s="51"/>
    </row>
    <row r="46" spans="1:8" x14ac:dyDescent="0.25">
      <c r="A46" s="50">
        <v>0.56000000000000005</v>
      </c>
      <c r="B46" s="50">
        <v>1090</v>
      </c>
      <c r="C46" s="50">
        <v>1048</v>
      </c>
      <c r="D46" s="50">
        <v>70</v>
      </c>
      <c r="E46" s="53">
        <v>1.1114999999999999</v>
      </c>
      <c r="F46" s="53">
        <v>1.0687</v>
      </c>
      <c r="G46" s="53">
        <v>7.1400000000000005E-2</v>
      </c>
      <c r="H46" s="50" t="s">
        <v>157</v>
      </c>
    </row>
    <row r="47" spans="1:8" x14ac:dyDescent="0.25">
      <c r="A47" s="50">
        <v>0.62</v>
      </c>
      <c r="B47" s="50">
        <v>880</v>
      </c>
      <c r="C47" s="50">
        <v>810</v>
      </c>
      <c r="D47" s="50">
        <v>92</v>
      </c>
      <c r="E47" s="53">
        <v>0.89739999999999998</v>
      </c>
      <c r="F47" s="53">
        <v>0.82599999999999996</v>
      </c>
      <c r="G47" s="53">
        <v>9.3799999999999994E-2</v>
      </c>
      <c r="H47" s="50" t="s">
        <v>158</v>
      </c>
    </row>
    <row r="48" spans="1:8" x14ac:dyDescent="0.25">
      <c r="A48" s="50">
        <v>0.68</v>
      </c>
      <c r="B48" s="50">
        <v>600</v>
      </c>
      <c r="C48" s="50">
        <v>400</v>
      </c>
      <c r="D48" s="50">
        <v>98</v>
      </c>
      <c r="E48" s="53">
        <v>0.61180000000000001</v>
      </c>
      <c r="F48" s="53">
        <v>0.40789999999999998</v>
      </c>
      <c r="G48" s="53">
        <v>9.9900000000000003E-2</v>
      </c>
      <c r="H48" s="51"/>
    </row>
    <row r="49" spans="1:8" x14ac:dyDescent="0.25">
      <c r="A49" s="50">
        <v>0.72</v>
      </c>
      <c r="B49" s="50">
        <v>425</v>
      </c>
      <c r="C49" s="50">
        <v>350</v>
      </c>
      <c r="D49" s="50">
        <v>68</v>
      </c>
      <c r="E49" s="53">
        <v>0.43340000000000001</v>
      </c>
      <c r="F49" s="53">
        <v>0.3569</v>
      </c>
      <c r="G49" s="53">
        <v>6.93E-2</v>
      </c>
      <c r="H49" s="51"/>
    </row>
    <row r="50" spans="1:8" x14ac:dyDescent="0.25">
      <c r="A50" s="50">
        <v>0.78</v>
      </c>
      <c r="B50" s="50">
        <v>350</v>
      </c>
      <c r="C50" s="50">
        <v>400</v>
      </c>
      <c r="D50" s="50">
        <v>66</v>
      </c>
      <c r="E50" s="53">
        <v>0.3569</v>
      </c>
      <c r="F50" s="53">
        <v>0.40789999999999998</v>
      </c>
      <c r="G50" s="53">
        <v>6.7299999999999999E-2</v>
      </c>
      <c r="H50" s="51"/>
    </row>
    <row r="51" spans="1:8" x14ac:dyDescent="0.25">
      <c r="A51" s="50">
        <v>0.85</v>
      </c>
      <c r="B51" s="50">
        <v>225</v>
      </c>
      <c r="C51" s="50">
        <v>280</v>
      </c>
      <c r="D51" s="50">
        <v>68</v>
      </c>
      <c r="E51" s="53">
        <v>0.22939999999999999</v>
      </c>
      <c r="F51" s="53">
        <v>0.28549999999999998</v>
      </c>
      <c r="G51" s="53">
        <v>6.93E-2</v>
      </c>
      <c r="H51" s="51"/>
    </row>
    <row r="52" spans="1:8" x14ac:dyDescent="0.25">
      <c r="A52" s="50">
        <v>0.9</v>
      </c>
      <c r="B52" s="50">
        <v>240</v>
      </c>
      <c r="C52" s="50">
        <v>268</v>
      </c>
      <c r="D52" s="50">
        <v>85</v>
      </c>
      <c r="E52" s="53">
        <v>0.2447</v>
      </c>
      <c r="F52" s="53">
        <v>0.27329999999999999</v>
      </c>
      <c r="G52" s="53">
        <v>8.6699999999999999E-2</v>
      </c>
      <c r="H52" s="51"/>
    </row>
    <row r="53" spans="1:8" x14ac:dyDescent="0.25">
      <c r="A53" s="50">
        <v>1</v>
      </c>
      <c r="B53" s="50">
        <v>180</v>
      </c>
      <c r="C53" s="50">
        <v>215</v>
      </c>
      <c r="D53" s="50">
        <v>98</v>
      </c>
      <c r="E53" s="53">
        <v>0.1835</v>
      </c>
      <c r="F53" s="53">
        <v>0.21920000000000001</v>
      </c>
      <c r="G53" s="53">
        <v>9.9900000000000003E-2</v>
      </c>
      <c r="H53" s="50">
        <v>-100</v>
      </c>
    </row>
    <row r="54" spans="1:8" x14ac:dyDescent="0.25">
      <c r="A54" s="50">
        <v>1.1000000000000001</v>
      </c>
      <c r="B54" s="50">
        <v>150</v>
      </c>
      <c r="C54" s="50">
        <v>142</v>
      </c>
      <c r="D54" s="50">
        <v>75</v>
      </c>
      <c r="E54" s="53">
        <v>0.15290000000000001</v>
      </c>
      <c r="F54" s="53">
        <v>0.14480000000000001</v>
      </c>
      <c r="G54" s="53">
        <v>7.6499999999999999E-2</v>
      </c>
      <c r="H54" s="51"/>
    </row>
    <row r="55" spans="1:8" x14ac:dyDescent="0.25">
      <c r="A55" s="50">
        <v>1.2</v>
      </c>
      <c r="B55" s="50">
        <v>108</v>
      </c>
      <c r="C55" s="50">
        <v>145</v>
      </c>
      <c r="D55" s="50">
        <v>58</v>
      </c>
      <c r="E55" s="53">
        <v>0.1101</v>
      </c>
      <c r="F55" s="53">
        <v>0.1479</v>
      </c>
      <c r="G55" s="53">
        <v>5.91E-2</v>
      </c>
      <c r="H55" s="51"/>
    </row>
    <row r="56" spans="1:8" x14ac:dyDescent="0.25">
      <c r="A56" s="50">
        <v>1.3</v>
      </c>
      <c r="B56" s="50">
        <v>78</v>
      </c>
      <c r="C56" s="50">
        <v>105</v>
      </c>
      <c r="D56" s="50">
        <v>65</v>
      </c>
      <c r="E56" s="53">
        <v>7.9500000000000001E-2</v>
      </c>
      <c r="F56" s="53">
        <v>0.1071</v>
      </c>
      <c r="G56" s="53">
        <v>6.6299999999999998E-2</v>
      </c>
      <c r="H56" s="51"/>
    </row>
    <row r="57" spans="1:8" x14ac:dyDescent="0.25">
      <c r="A57" s="50">
        <v>1.4</v>
      </c>
      <c r="B57" s="50">
        <v>75</v>
      </c>
      <c r="C57" s="50">
        <v>115</v>
      </c>
      <c r="D57" s="50">
        <v>45</v>
      </c>
      <c r="E57" s="53">
        <v>7.6499999999999999E-2</v>
      </c>
      <c r="F57" s="53">
        <v>0.1173</v>
      </c>
      <c r="G57" s="53">
        <v>4.5900000000000003E-2</v>
      </c>
      <c r="H57" s="51"/>
    </row>
    <row r="58" spans="1:8" x14ac:dyDescent="0.25">
      <c r="A58" s="50">
        <v>1.5</v>
      </c>
      <c r="B58" s="50">
        <v>78</v>
      </c>
      <c r="C58" s="50">
        <v>80</v>
      </c>
      <c r="D58" s="50">
        <v>38</v>
      </c>
      <c r="E58" s="53">
        <v>7.9500000000000001E-2</v>
      </c>
      <c r="F58" s="53">
        <v>8.1600000000000006E-2</v>
      </c>
      <c r="G58" s="53">
        <v>3.8699999999999998E-2</v>
      </c>
      <c r="H58" s="51"/>
    </row>
    <row r="59" spans="1:8" x14ac:dyDescent="0.25">
      <c r="A59" s="50">
        <v>1.6</v>
      </c>
      <c r="B59" s="50">
        <v>62</v>
      </c>
      <c r="C59" s="50">
        <v>68</v>
      </c>
      <c r="D59" s="50">
        <v>35</v>
      </c>
      <c r="E59" s="53">
        <v>6.3200000000000006E-2</v>
      </c>
      <c r="F59" s="53">
        <v>6.93E-2</v>
      </c>
      <c r="G59" s="53">
        <v>3.5700000000000003E-2</v>
      </c>
      <c r="H59" s="51"/>
    </row>
    <row r="60" spans="1:8" x14ac:dyDescent="0.25">
      <c r="A60" s="50">
        <v>1.8</v>
      </c>
      <c r="B60" s="50">
        <v>82</v>
      </c>
      <c r="C60" s="50">
        <v>65</v>
      </c>
      <c r="D60" s="50">
        <v>30</v>
      </c>
      <c r="E60" s="53">
        <v>8.3599999999999994E-2</v>
      </c>
      <c r="F60" s="53">
        <v>6.6299999999999998E-2</v>
      </c>
      <c r="G60" s="53">
        <v>3.0599999999999999E-2</v>
      </c>
      <c r="H60" s="51"/>
    </row>
    <row r="61" spans="1:8" x14ac:dyDescent="0.25">
      <c r="A61" s="50">
        <v>2</v>
      </c>
      <c r="B61" s="50">
        <v>92</v>
      </c>
      <c r="C61" s="50">
        <v>58</v>
      </c>
      <c r="D61" s="50">
        <v>22</v>
      </c>
      <c r="E61" s="53">
        <v>9.3799999999999994E-2</v>
      </c>
      <c r="F61" s="53">
        <v>5.91E-2</v>
      </c>
      <c r="G61" s="53">
        <v>2.24E-2</v>
      </c>
      <c r="H61" s="51"/>
    </row>
    <row r="62" spans="1:8" x14ac:dyDescent="0.25">
      <c r="A62" s="50">
        <v>2.2000000000000002</v>
      </c>
      <c r="B62" s="50">
        <v>50</v>
      </c>
      <c r="C62" s="50">
        <v>48</v>
      </c>
      <c r="D62" s="50">
        <v>22</v>
      </c>
      <c r="E62" s="53">
        <v>5.0999999999999997E-2</v>
      </c>
      <c r="F62" s="53">
        <v>4.8899999999999999E-2</v>
      </c>
      <c r="G62" s="53">
        <v>2.24E-2</v>
      </c>
      <c r="H62" s="51"/>
    </row>
    <row r="63" spans="1:8" x14ac:dyDescent="0.25">
      <c r="A63" s="50">
        <v>2.5</v>
      </c>
      <c r="B63" s="50">
        <v>45</v>
      </c>
      <c r="C63" s="50">
        <v>45</v>
      </c>
      <c r="D63" s="50">
        <v>18</v>
      </c>
      <c r="E63" s="53">
        <v>4.5900000000000003E-2</v>
      </c>
      <c r="F63" s="53">
        <v>4.5900000000000003E-2</v>
      </c>
      <c r="G63" s="53">
        <v>1.84E-2</v>
      </c>
      <c r="H63" s="51"/>
    </row>
    <row r="64" spans="1:8" x14ac:dyDescent="0.25">
      <c r="A64" s="50">
        <v>2.8</v>
      </c>
      <c r="B64" s="50">
        <v>25</v>
      </c>
      <c r="C64" s="50">
        <v>25</v>
      </c>
      <c r="D64" s="50">
        <v>12</v>
      </c>
      <c r="E64" s="53">
        <v>2.5499999999999998E-2</v>
      </c>
      <c r="F64" s="53">
        <v>2.5499999999999998E-2</v>
      </c>
      <c r="G64" s="53">
        <v>1.2200000000000001E-2</v>
      </c>
      <c r="H64" s="51"/>
    </row>
    <row r="65" spans="1:8" x14ac:dyDescent="0.25">
      <c r="A65" s="50">
        <v>3</v>
      </c>
      <c r="B65" s="50">
        <v>20</v>
      </c>
      <c r="C65" s="50">
        <v>18</v>
      </c>
      <c r="D65" s="50">
        <v>12</v>
      </c>
      <c r="E65" s="53">
        <v>2.0400000000000001E-2</v>
      </c>
      <c r="F65" s="53">
        <v>1.84E-2</v>
      </c>
      <c r="G65" s="53">
        <v>1.2200000000000001E-2</v>
      </c>
      <c r="H65" s="51"/>
    </row>
    <row r="66" spans="1:8" x14ac:dyDescent="0.25">
      <c r="A66" s="50">
        <v>3.5</v>
      </c>
      <c r="B66" s="50">
        <v>18</v>
      </c>
      <c r="C66" s="50">
        <v>15</v>
      </c>
      <c r="D66" s="50">
        <v>8</v>
      </c>
      <c r="E66" s="53">
        <v>1.84E-2</v>
      </c>
      <c r="F66" s="53">
        <v>1.5299999999999999E-2</v>
      </c>
      <c r="G66" s="53">
        <v>8.2000000000000007E-3</v>
      </c>
      <c r="H66" s="51"/>
    </row>
    <row r="67" spans="1:8" x14ac:dyDescent="0.25">
      <c r="A67" s="50">
        <v>4</v>
      </c>
      <c r="B67" s="50">
        <v>12</v>
      </c>
      <c r="C67" s="50">
        <v>12</v>
      </c>
      <c r="D67" s="50">
        <v>5</v>
      </c>
      <c r="E67" s="53">
        <v>1.2200000000000001E-2</v>
      </c>
      <c r="F67" s="53">
        <v>1.2200000000000001E-2</v>
      </c>
      <c r="G67" s="53">
        <v>5.1000000000000004E-3</v>
      </c>
      <c r="H67" s="51"/>
    </row>
    <row r="68" spans="1:8" x14ac:dyDescent="0.25">
      <c r="A68" s="50">
        <v>4.5</v>
      </c>
      <c r="B68" s="50">
        <v>8</v>
      </c>
      <c r="C68" s="50">
        <v>10</v>
      </c>
      <c r="D68" s="50">
        <v>2</v>
      </c>
      <c r="E68" s="53">
        <v>8.2000000000000007E-3</v>
      </c>
      <c r="F68" s="53">
        <v>1.0200000000000001E-2</v>
      </c>
      <c r="G68" s="53">
        <v>2E-3</v>
      </c>
      <c r="H68" s="51"/>
    </row>
    <row r="69" spans="1:8" x14ac:dyDescent="0.25">
      <c r="A69" s="50">
        <v>5</v>
      </c>
      <c r="B69" s="50">
        <v>5</v>
      </c>
      <c r="C69" s="50">
        <v>6</v>
      </c>
      <c r="D69" s="50">
        <v>2</v>
      </c>
      <c r="E69" s="53">
        <v>5.1000000000000004E-3</v>
      </c>
      <c r="F69" s="53">
        <v>6.1000000000000004E-3</v>
      </c>
      <c r="G69" s="53">
        <v>2E-3</v>
      </c>
      <c r="H69" s="50" t="s">
        <v>159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5D9E-9689-446F-8E1F-57219E14B2CF}">
  <sheetPr>
    <tabColor rgb="FFFFFF00"/>
  </sheetPr>
  <dimension ref="A1:L81"/>
  <sheetViews>
    <sheetView showGridLines="0" workbookViewId="0">
      <pane xSplit="1" ySplit="2" topLeftCell="B3" activePane="bottomRight" state="frozen"/>
      <selection activeCell="G3" sqref="G3"/>
      <selection pane="topRight" activeCell="G3" sqref="G3"/>
      <selection pane="bottomLeft" activeCell="G3" sqref="G3"/>
      <selection pane="bottomRight" activeCell="B3" sqref="B3"/>
    </sheetView>
  </sheetViews>
  <sheetFormatPr baseColWidth="10" defaultRowHeight="15" x14ac:dyDescent="0.25"/>
  <cols>
    <col min="8" max="8" width="35.7109375" bestFit="1" customWidth="1"/>
  </cols>
  <sheetData>
    <row r="1" spans="1:8" ht="20.25" thickBot="1" x14ac:dyDescent="0.35">
      <c r="A1" s="42" t="s">
        <v>121</v>
      </c>
    </row>
    <row r="2" spans="1:8" ht="39.75" thickTop="1" x14ac:dyDescent="0.25">
      <c r="A2" s="48" t="s">
        <v>89</v>
      </c>
      <c r="B2" s="48" t="s">
        <v>90</v>
      </c>
      <c r="C2" s="48" t="s">
        <v>91</v>
      </c>
      <c r="D2" s="48" t="s">
        <v>92</v>
      </c>
      <c r="E2" s="48" t="s">
        <v>122</v>
      </c>
      <c r="F2" s="48" t="s">
        <v>123</v>
      </c>
      <c r="G2" s="48" t="s">
        <v>124</v>
      </c>
      <c r="H2" s="49" t="s">
        <v>125</v>
      </c>
    </row>
    <row r="3" spans="1:8" x14ac:dyDescent="0.25">
      <c r="A3" s="50">
        <v>0.01</v>
      </c>
      <c r="B3" s="50">
        <v>278</v>
      </c>
      <c r="C3" s="50">
        <v>388</v>
      </c>
      <c r="D3" s="50">
        <v>91</v>
      </c>
      <c r="E3" s="43">
        <v>0.28349999999999997</v>
      </c>
      <c r="F3" s="43">
        <v>0.3957</v>
      </c>
      <c r="G3" s="43">
        <v>9.2799999999999994E-2</v>
      </c>
      <c r="H3" s="50" t="s">
        <v>126</v>
      </c>
    </row>
    <row r="4" spans="1:8" x14ac:dyDescent="0.25">
      <c r="A4" s="50">
        <v>1.2E-2</v>
      </c>
      <c r="B4" s="50">
        <v>276</v>
      </c>
      <c r="C4" s="50">
        <v>389</v>
      </c>
      <c r="D4" s="50">
        <v>91</v>
      </c>
      <c r="E4" s="43">
        <v>0.28139999999999998</v>
      </c>
      <c r="F4" s="43">
        <v>0.3967</v>
      </c>
      <c r="G4" s="43">
        <v>9.2799999999999994E-2</v>
      </c>
      <c r="H4" s="51" t="s">
        <v>127</v>
      </c>
    </row>
    <row r="5" spans="1:8" x14ac:dyDescent="0.25">
      <c r="A5" s="50">
        <v>1.4E-2</v>
      </c>
      <c r="B5" s="50">
        <v>277</v>
      </c>
      <c r="C5" s="50">
        <v>390</v>
      </c>
      <c r="D5" s="50">
        <v>92</v>
      </c>
      <c r="E5" s="43">
        <v>0.28249999999999997</v>
      </c>
      <c r="F5" s="43">
        <v>0.3977</v>
      </c>
      <c r="G5" s="43">
        <v>9.3799999999999994E-2</v>
      </c>
      <c r="H5" s="51"/>
    </row>
    <row r="6" spans="1:8" x14ac:dyDescent="0.25">
      <c r="A6" s="50">
        <v>1.6E-2</v>
      </c>
      <c r="B6" s="50">
        <v>278</v>
      </c>
      <c r="C6" s="50">
        <v>392</v>
      </c>
      <c r="D6" s="50">
        <v>93</v>
      </c>
      <c r="E6" s="43">
        <v>0.28349999999999997</v>
      </c>
      <c r="F6" s="43">
        <v>0.3997</v>
      </c>
      <c r="G6" s="43">
        <v>9.4799999999999995E-2</v>
      </c>
      <c r="H6" s="51"/>
    </row>
    <row r="7" spans="1:8" x14ac:dyDescent="0.25">
      <c r="A7" s="50">
        <v>1.7999999999999999E-2</v>
      </c>
      <c r="B7" s="50">
        <v>277</v>
      </c>
      <c r="C7" s="50">
        <v>388</v>
      </c>
      <c r="D7" s="50">
        <v>96</v>
      </c>
      <c r="E7" s="43">
        <v>0.28249999999999997</v>
      </c>
      <c r="F7" s="43">
        <v>0.3957</v>
      </c>
      <c r="G7" s="43">
        <v>9.7900000000000001E-2</v>
      </c>
      <c r="H7" s="51"/>
    </row>
    <row r="8" spans="1:8" x14ac:dyDescent="0.25">
      <c r="A8" s="50">
        <v>0.02</v>
      </c>
      <c r="B8" s="50">
        <v>275</v>
      </c>
      <c r="C8" s="50">
        <v>389</v>
      </c>
      <c r="D8" s="50">
        <v>94</v>
      </c>
      <c r="E8" s="43">
        <v>0.28039999999999998</v>
      </c>
      <c r="F8" s="43">
        <v>0.3967</v>
      </c>
      <c r="G8" s="43">
        <v>9.5899999999999999E-2</v>
      </c>
      <c r="H8" s="51"/>
    </row>
    <row r="9" spans="1:8" x14ac:dyDescent="0.25">
      <c r="A9" s="50">
        <v>2.1999999999999999E-2</v>
      </c>
      <c r="B9" s="50">
        <v>280</v>
      </c>
      <c r="C9" s="50">
        <v>391</v>
      </c>
      <c r="D9" s="50">
        <v>94</v>
      </c>
      <c r="E9" s="43">
        <v>0.28549999999999998</v>
      </c>
      <c r="F9" s="43">
        <v>0.3987</v>
      </c>
      <c r="G9" s="43">
        <v>9.5899999999999999E-2</v>
      </c>
      <c r="H9" s="50"/>
    </row>
    <row r="10" spans="1:8" x14ac:dyDescent="0.25">
      <c r="A10" s="50">
        <v>2.5000000000000001E-2</v>
      </c>
      <c r="B10" s="50">
        <v>281</v>
      </c>
      <c r="C10" s="50">
        <v>390</v>
      </c>
      <c r="D10" s="50">
        <v>94</v>
      </c>
      <c r="E10" s="43">
        <v>0.28649999999999998</v>
      </c>
      <c r="F10" s="43">
        <v>0.3977</v>
      </c>
      <c r="G10" s="43">
        <v>9.5899999999999999E-2</v>
      </c>
      <c r="H10" s="51"/>
    </row>
    <row r="11" spans="1:8" x14ac:dyDescent="0.25">
      <c r="A11" s="50">
        <v>2.8000000000000001E-2</v>
      </c>
      <c r="B11" s="50">
        <v>281</v>
      </c>
      <c r="C11" s="50">
        <v>389</v>
      </c>
      <c r="D11" s="50">
        <v>93</v>
      </c>
      <c r="E11" s="43">
        <v>0.28649999999999998</v>
      </c>
      <c r="F11" s="43">
        <v>0.3967</v>
      </c>
      <c r="G11" s="43">
        <v>9.4799999999999995E-2</v>
      </c>
      <c r="H11" s="51"/>
    </row>
    <row r="12" spans="1:8" x14ac:dyDescent="0.25">
      <c r="A12" s="50">
        <v>0.03</v>
      </c>
      <c r="B12" s="50">
        <v>282</v>
      </c>
      <c r="C12" s="50">
        <v>388</v>
      </c>
      <c r="D12" s="50">
        <v>97</v>
      </c>
      <c r="E12" s="43">
        <v>0.28760000000000002</v>
      </c>
      <c r="F12" s="43">
        <v>0.3957</v>
      </c>
      <c r="G12" s="43">
        <v>9.8900000000000002E-2</v>
      </c>
      <c r="H12" s="51"/>
    </row>
    <row r="13" spans="1:8" x14ac:dyDescent="0.25">
      <c r="A13" s="50">
        <v>3.5000000000000003E-2</v>
      </c>
      <c r="B13" s="50">
        <v>288</v>
      </c>
      <c r="C13" s="50">
        <v>395</v>
      </c>
      <c r="D13" s="50">
        <v>102</v>
      </c>
      <c r="E13" s="43">
        <v>0.29370000000000002</v>
      </c>
      <c r="F13" s="43">
        <v>0.40279999999999999</v>
      </c>
      <c r="G13" s="43">
        <v>0.104</v>
      </c>
      <c r="H13" s="51" t="s">
        <v>128</v>
      </c>
    </row>
    <row r="14" spans="1:8" x14ac:dyDescent="0.25">
      <c r="A14" s="50">
        <v>0.04</v>
      </c>
      <c r="B14" s="50">
        <v>292</v>
      </c>
      <c r="C14" s="50">
        <v>398</v>
      </c>
      <c r="D14" s="50">
        <v>114</v>
      </c>
      <c r="E14" s="43">
        <v>0.29780000000000001</v>
      </c>
      <c r="F14" s="43">
        <v>0.40579999999999999</v>
      </c>
      <c r="G14" s="43">
        <v>0.1162</v>
      </c>
      <c r="H14" s="51"/>
    </row>
    <row r="15" spans="1:8" x14ac:dyDescent="0.25">
      <c r="A15" s="50">
        <v>4.4999999999999998E-2</v>
      </c>
      <c r="B15" s="50">
        <v>295</v>
      </c>
      <c r="C15" s="50">
        <v>403</v>
      </c>
      <c r="D15" s="50">
        <v>113</v>
      </c>
      <c r="E15" s="43">
        <v>0.30080000000000001</v>
      </c>
      <c r="F15" s="43">
        <v>0.41089999999999999</v>
      </c>
      <c r="G15" s="43">
        <v>0.1152</v>
      </c>
      <c r="H15" s="51"/>
    </row>
    <row r="16" spans="1:8" x14ac:dyDescent="0.25">
      <c r="A16" s="50">
        <v>0.05</v>
      </c>
      <c r="B16" s="50">
        <v>300</v>
      </c>
      <c r="C16" s="50">
        <v>402</v>
      </c>
      <c r="D16" s="50">
        <v>120</v>
      </c>
      <c r="E16" s="43">
        <v>0.30590000000000001</v>
      </c>
      <c r="F16" s="43">
        <v>0.40989999999999999</v>
      </c>
      <c r="G16" s="43">
        <v>0.12239999999999999</v>
      </c>
      <c r="H16" s="51"/>
    </row>
    <row r="17" spans="1:12" x14ac:dyDescent="0.25">
      <c r="A17" s="50">
        <v>5.5E-2</v>
      </c>
      <c r="B17" s="50">
        <v>315</v>
      </c>
      <c r="C17" s="50">
        <v>400</v>
      </c>
      <c r="D17" s="50">
        <v>112</v>
      </c>
      <c r="E17" s="43">
        <v>0.32119999999999999</v>
      </c>
      <c r="F17" s="43">
        <v>0.40789999999999998</v>
      </c>
      <c r="G17" s="43">
        <v>0.1142</v>
      </c>
      <c r="H17" s="51"/>
    </row>
    <row r="18" spans="1:12" x14ac:dyDescent="0.25">
      <c r="A18" s="50">
        <v>0.06</v>
      </c>
      <c r="B18" s="50">
        <v>318</v>
      </c>
      <c r="C18" s="50">
        <v>412</v>
      </c>
      <c r="D18" s="50">
        <v>108</v>
      </c>
      <c r="E18" s="43">
        <v>0.32429999999999998</v>
      </c>
      <c r="F18" s="43">
        <v>0.42009999999999997</v>
      </c>
      <c r="G18" s="43">
        <v>0.1101</v>
      </c>
      <c r="H18" s="51"/>
    </row>
    <row r="19" spans="1:12" x14ac:dyDescent="0.25">
      <c r="A19" s="50">
        <v>6.5000000000000002E-2</v>
      </c>
      <c r="B19" s="50">
        <v>312</v>
      </c>
      <c r="C19" s="50">
        <v>432</v>
      </c>
      <c r="D19" s="50">
        <v>115</v>
      </c>
      <c r="E19" s="43">
        <v>0.31809999999999999</v>
      </c>
      <c r="F19" s="43">
        <v>0.4405</v>
      </c>
      <c r="G19" s="43">
        <v>0.1173</v>
      </c>
      <c r="H19" s="51"/>
    </row>
    <row r="20" spans="1:12" x14ac:dyDescent="0.25">
      <c r="A20" s="50">
        <v>7.0000000000000007E-2</v>
      </c>
      <c r="B20" s="50">
        <v>340</v>
      </c>
      <c r="C20" s="50">
        <v>458</v>
      </c>
      <c r="D20" s="50">
        <v>112</v>
      </c>
      <c r="E20" s="43">
        <v>0.34670000000000001</v>
      </c>
      <c r="F20" s="43">
        <v>0.46700000000000003</v>
      </c>
      <c r="G20" s="43">
        <v>0.1142</v>
      </c>
      <c r="H20" s="51"/>
    </row>
    <row r="21" spans="1:12" x14ac:dyDescent="0.25">
      <c r="A21" s="50">
        <v>7.4999999999999997E-2</v>
      </c>
      <c r="B21" s="50">
        <v>338</v>
      </c>
      <c r="C21" s="50">
        <v>452</v>
      </c>
      <c r="D21" s="50">
        <v>128</v>
      </c>
      <c r="E21" s="43">
        <v>0.34470000000000001</v>
      </c>
      <c r="F21" s="43">
        <v>0.46089999999999998</v>
      </c>
      <c r="G21" s="43">
        <v>0.1305</v>
      </c>
      <c r="H21" s="51"/>
    </row>
    <row r="22" spans="1:12" x14ac:dyDescent="0.25">
      <c r="A22" s="50">
        <v>0.08</v>
      </c>
      <c r="B22" s="50">
        <v>335</v>
      </c>
      <c r="C22" s="50">
        <v>472</v>
      </c>
      <c r="D22" s="50">
        <v>155</v>
      </c>
      <c r="E22" s="43">
        <v>0.34160000000000001</v>
      </c>
      <c r="F22" s="43">
        <v>0.48130000000000001</v>
      </c>
      <c r="G22" s="43">
        <v>0.15809999999999999</v>
      </c>
      <c r="H22" s="50" t="s">
        <v>129</v>
      </c>
    </row>
    <row r="23" spans="1:12" ht="15.75" thickBot="1" x14ac:dyDescent="0.3">
      <c r="A23" s="50">
        <v>8.5000000000000006E-2</v>
      </c>
      <c r="B23" s="50">
        <v>365</v>
      </c>
      <c r="C23" s="50">
        <v>458</v>
      </c>
      <c r="D23" s="50">
        <v>210</v>
      </c>
      <c r="E23" s="43">
        <v>0.37219999999999998</v>
      </c>
      <c r="F23" s="43">
        <v>0.46700000000000003</v>
      </c>
      <c r="G23" s="43">
        <v>0.21410000000000001</v>
      </c>
      <c r="H23" s="50"/>
    </row>
    <row r="24" spans="1:12" ht="15.75" thickBot="1" x14ac:dyDescent="0.3">
      <c r="A24" s="50">
        <v>0.09</v>
      </c>
      <c r="B24" s="50">
        <v>378</v>
      </c>
      <c r="C24" s="50">
        <v>450</v>
      </c>
      <c r="D24" s="50">
        <v>235</v>
      </c>
      <c r="E24" s="43">
        <v>0.38550000000000001</v>
      </c>
      <c r="F24" s="43">
        <v>0.45889999999999997</v>
      </c>
      <c r="G24" s="43">
        <v>0.23960000000000001</v>
      </c>
      <c r="H24" s="51" t="s">
        <v>130</v>
      </c>
      <c r="I24" s="54" t="s">
        <v>160</v>
      </c>
      <c r="J24" s="55">
        <v>3</v>
      </c>
    </row>
    <row r="25" spans="1:12" x14ac:dyDescent="0.25">
      <c r="A25" s="50">
        <v>9.5000000000000001E-2</v>
      </c>
      <c r="B25" s="50">
        <v>395</v>
      </c>
      <c r="C25" s="50">
        <v>468</v>
      </c>
      <c r="D25" s="50">
        <v>218</v>
      </c>
      <c r="E25" s="43">
        <v>0.40279999999999999</v>
      </c>
      <c r="F25" s="43">
        <v>0.47720000000000001</v>
      </c>
      <c r="G25" s="43">
        <v>0.2223</v>
      </c>
      <c r="H25" s="50"/>
      <c r="I25" s="18" t="s">
        <v>161</v>
      </c>
    </row>
    <row r="26" spans="1:12" x14ac:dyDescent="0.25">
      <c r="A26" s="50">
        <v>0.1</v>
      </c>
      <c r="B26" s="50">
        <v>402</v>
      </c>
      <c r="C26" s="50">
        <v>452</v>
      </c>
      <c r="D26" s="50">
        <v>248</v>
      </c>
      <c r="E26" s="43">
        <v>0.41</v>
      </c>
      <c r="F26" s="43">
        <v>0.46089999999999998</v>
      </c>
      <c r="G26" s="43">
        <v>0.25290000000000001</v>
      </c>
      <c r="H26" s="51" t="s">
        <v>132</v>
      </c>
      <c r="I26" s="44"/>
      <c r="J26" s="45" t="s">
        <v>103</v>
      </c>
      <c r="K26" s="45" t="s">
        <v>104</v>
      </c>
      <c r="L26" s="45" t="s">
        <v>105</v>
      </c>
    </row>
    <row r="27" spans="1:12" x14ac:dyDescent="0.25">
      <c r="A27" s="50">
        <v>0.11</v>
      </c>
      <c r="B27" s="50">
        <v>415</v>
      </c>
      <c r="C27" s="50">
        <v>445</v>
      </c>
      <c r="D27" s="50">
        <v>200</v>
      </c>
      <c r="E27" s="43">
        <v>0.42320000000000002</v>
      </c>
      <c r="F27" s="43">
        <v>0.45379999999999998</v>
      </c>
      <c r="G27" s="43">
        <v>0.2039</v>
      </c>
      <c r="H27" s="51"/>
      <c r="I27" s="46" t="s">
        <v>107</v>
      </c>
      <c r="J27" s="47">
        <f>MAX(E3:E81)</f>
        <v>1.657</v>
      </c>
      <c r="K27" s="47">
        <f>MAX(F3:F81)</f>
        <v>2.0394000000000001</v>
      </c>
      <c r="L27" s="47">
        <f>MAX(G3:G81)</f>
        <v>0.42320000000000002</v>
      </c>
    </row>
    <row r="28" spans="1:12" x14ac:dyDescent="0.25">
      <c r="A28" s="50">
        <v>0.12</v>
      </c>
      <c r="B28" s="50">
        <v>490</v>
      </c>
      <c r="C28" s="50">
        <v>508</v>
      </c>
      <c r="D28" s="50">
        <v>190</v>
      </c>
      <c r="E28" s="43">
        <v>0.49969999999999998</v>
      </c>
      <c r="F28" s="43">
        <v>0.51800000000000002</v>
      </c>
      <c r="G28" s="43">
        <v>0.19370000000000001</v>
      </c>
      <c r="H28" s="51"/>
      <c r="I28" s="46" t="s">
        <v>108</v>
      </c>
      <c r="J28" s="44">
        <f>INDEX($A$3:$A$81,MATCH(J27,E$3:E$81,0))</f>
        <v>0.56000000000000005</v>
      </c>
      <c r="K28" s="44">
        <f>INDEX($A$3:$A$81,MATCH(K27,F$3:F$81,0))</f>
        <v>0.57999999999999996</v>
      </c>
      <c r="L28" s="44">
        <f>INDEX($A$3:$A$81,MATCH(L27,G$3:G$81,0))</f>
        <v>0.28999999999999998</v>
      </c>
    </row>
    <row r="29" spans="1:12" x14ac:dyDescent="0.25">
      <c r="A29" s="50">
        <v>0.13</v>
      </c>
      <c r="B29" s="50">
        <v>518</v>
      </c>
      <c r="C29" s="50">
        <v>555</v>
      </c>
      <c r="D29" s="50">
        <v>248</v>
      </c>
      <c r="E29" s="43">
        <v>0.5282</v>
      </c>
      <c r="F29" s="43">
        <v>0.56589999999999996</v>
      </c>
      <c r="G29" s="43">
        <v>0.25290000000000001</v>
      </c>
      <c r="H29" s="51" t="s">
        <v>133</v>
      </c>
    </row>
    <row r="30" spans="1:12" x14ac:dyDescent="0.25">
      <c r="A30" s="50">
        <v>0.14000000000000001</v>
      </c>
      <c r="B30" s="50">
        <v>450</v>
      </c>
      <c r="C30" s="50">
        <v>512</v>
      </c>
      <c r="D30" s="50">
        <v>230</v>
      </c>
      <c r="E30" s="43">
        <v>0.45889999999999997</v>
      </c>
      <c r="F30" s="43">
        <v>0.52210000000000001</v>
      </c>
      <c r="G30" s="43">
        <v>0.23449999999999999</v>
      </c>
      <c r="H30" s="51"/>
    </row>
    <row r="31" spans="1:12" x14ac:dyDescent="0.25">
      <c r="A31" s="50">
        <v>0.15</v>
      </c>
      <c r="B31" s="50">
        <v>492</v>
      </c>
      <c r="C31" s="50">
        <v>522</v>
      </c>
      <c r="D31" s="50">
        <v>192</v>
      </c>
      <c r="E31" s="43">
        <v>0.50170000000000003</v>
      </c>
      <c r="F31" s="43">
        <v>0.5323</v>
      </c>
      <c r="G31" s="43">
        <v>0.1958</v>
      </c>
      <c r="H31" s="51"/>
    </row>
    <row r="32" spans="1:12" x14ac:dyDescent="0.25">
      <c r="A32" s="50">
        <v>0.16</v>
      </c>
      <c r="B32" s="50">
        <v>460</v>
      </c>
      <c r="C32" s="50">
        <v>492</v>
      </c>
      <c r="D32" s="50">
        <v>215</v>
      </c>
      <c r="E32" s="43">
        <v>0.46910000000000002</v>
      </c>
      <c r="F32" s="43">
        <v>0.50170000000000003</v>
      </c>
      <c r="G32" s="43">
        <v>0.21920000000000001</v>
      </c>
      <c r="H32" s="50"/>
    </row>
    <row r="33" spans="1:8" x14ac:dyDescent="0.25">
      <c r="A33" s="50">
        <v>0.17</v>
      </c>
      <c r="B33" s="50">
        <v>480</v>
      </c>
      <c r="C33" s="50">
        <v>598</v>
      </c>
      <c r="D33" s="50">
        <v>228</v>
      </c>
      <c r="E33" s="43">
        <v>0.48949999999999999</v>
      </c>
      <c r="F33" s="43">
        <v>0.60980000000000001</v>
      </c>
      <c r="G33" s="43">
        <v>0.23250000000000001</v>
      </c>
      <c r="H33" s="51"/>
    </row>
    <row r="34" spans="1:8" x14ac:dyDescent="0.25">
      <c r="A34" s="50">
        <v>0.18</v>
      </c>
      <c r="B34" s="50">
        <v>458</v>
      </c>
      <c r="C34" s="50">
        <v>682</v>
      </c>
      <c r="D34" s="50">
        <v>265</v>
      </c>
      <c r="E34" s="43">
        <v>0.46700000000000003</v>
      </c>
      <c r="F34" s="43">
        <v>0.69540000000000002</v>
      </c>
      <c r="G34" s="43">
        <v>0.2702</v>
      </c>
      <c r="H34" s="51"/>
    </row>
    <row r="35" spans="1:8" x14ac:dyDescent="0.25">
      <c r="A35" s="50">
        <v>0.19</v>
      </c>
      <c r="B35" s="50">
        <v>502</v>
      </c>
      <c r="C35" s="50">
        <v>750</v>
      </c>
      <c r="D35" s="50">
        <v>278</v>
      </c>
      <c r="E35" s="43">
        <v>0.51190000000000002</v>
      </c>
      <c r="F35" s="43">
        <v>0.76480000000000004</v>
      </c>
      <c r="G35" s="43">
        <v>0.28349999999999997</v>
      </c>
      <c r="H35" s="51"/>
    </row>
    <row r="36" spans="1:8" x14ac:dyDescent="0.25">
      <c r="A36" s="50">
        <v>0.2</v>
      </c>
      <c r="B36" s="50">
        <v>535</v>
      </c>
      <c r="C36" s="50">
        <v>778</v>
      </c>
      <c r="D36" s="50">
        <v>308</v>
      </c>
      <c r="E36" s="43">
        <v>0.54549999999999998</v>
      </c>
      <c r="F36" s="43">
        <v>0.79330000000000001</v>
      </c>
      <c r="G36" s="43">
        <v>0.31409999999999999</v>
      </c>
      <c r="H36" s="51"/>
    </row>
    <row r="37" spans="1:8" x14ac:dyDescent="0.25">
      <c r="A37" s="50">
        <v>0.22</v>
      </c>
      <c r="B37" s="50">
        <v>592</v>
      </c>
      <c r="C37" s="50">
        <v>710</v>
      </c>
      <c r="D37" s="50">
        <v>280</v>
      </c>
      <c r="E37" s="43">
        <v>0.60370000000000001</v>
      </c>
      <c r="F37" s="43">
        <v>0.72399999999999998</v>
      </c>
      <c r="G37" s="43">
        <v>0.28549999999999998</v>
      </c>
      <c r="H37" s="50"/>
    </row>
    <row r="38" spans="1:8" x14ac:dyDescent="0.25">
      <c r="A38" s="50">
        <v>0.24</v>
      </c>
      <c r="B38" s="50">
        <v>590</v>
      </c>
      <c r="C38" s="50">
        <v>650</v>
      </c>
      <c r="D38" s="50">
        <v>250</v>
      </c>
      <c r="E38" s="43">
        <v>0.60160000000000002</v>
      </c>
      <c r="F38" s="43">
        <v>0.66279999999999994</v>
      </c>
      <c r="G38" s="43">
        <v>0.25490000000000002</v>
      </c>
      <c r="H38" s="50"/>
    </row>
    <row r="39" spans="1:8" x14ac:dyDescent="0.25">
      <c r="A39" s="50">
        <v>0.25</v>
      </c>
      <c r="B39" s="50">
        <v>620</v>
      </c>
      <c r="C39" s="50">
        <v>722</v>
      </c>
      <c r="D39" s="50">
        <v>310</v>
      </c>
      <c r="E39" s="43">
        <v>0.63219999999999998</v>
      </c>
      <c r="F39" s="43">
        <v>0.73619999999999997</v>
      </c>
      <c r="G39" s="43">
        <v>0.31609999999999999</v>
      </c>
      <c r="H39" s="51"/>
    </row>
    <row r="40" spans="1:8" x14ac:dyDescent="0.25">
      <c r="A40" s="50">
        <v>0.26</v>
      </c>
      <c r="B40" s="50">
        <v>622</v>
      </c>
      <c r="C40" s="50">
        <v>760</v>
      </c>
      <c r="D40" s="50">
        <v>340</v>
      </c>
      <c r="E40" s="43">
        <v>0.63429999999999997</v>
      </c>
      <c r="F40" s="43">
        <v>0.77500000000000002</v>
      </c>
      <c r="G40" s="43">
        <v>0.34670000000000001</v>
      </c>
      <c r="H40" s="51"/>
    </row>
    <row r="41" spans="1:8" x14ac:dyDescent="0.25">
      <c r="A41" s="50">
        <v>0.27</v>
      </c>
      <c r="B41" s="50">
        <v>605</v>
      </c>
      <c r="C41" s="50">
        <v>742</v>
      </c>
      <c r="D41" s="50">
        <v>338</v>
      </c>
      <c r="E41" s="43">
        <v>0.6169</v>
      </c>
      <c r="F41" s="43">
        <v>0.75660000000000005</v>
      </c>
      <c r="G41" s="43">
        <v>0.34470000000000001</v>
      </c>
      <c r="H41" s="51"/>
    </row>
    <row r="42" spans="1:8" x14ac:dyDescent="0.25">
      <c r="A42" s="50">
        <v>0.28000000000000003</v>
      </c>
      <c r="B42" s="50">
        <v>572</v>
      </c>
      <c r="C42" s="50">
        <v>758</v>
      </c>
      <c r="D42" s="50">
        <v>390</v>
      </c>
      <c r="E42" s="43">
        <v>0.58330000000000004</v>
      </c>
      <c r="F42" s="43">
        <v>0.77290000000000003</v>
      </c>
      <c r="G42" s="43">
        <v>0.3977</v>
      </c>
      <c r="H42" s="51"/>
    </row>
    <row r="43" spans="1:8" x14ac:dyDescent="0.25">
      <c r="A43" s="50">
        <v>0.28999999999999998</v>
      </c>
      <c r="B43" s="50">
        <v>605</v>
      </c>
      <c r="C43" s="50">
        <v>718</v>
      </c>
      <c r="D43" s="50">
        <v>415</v>
      </c>
      <c r="E43" s="43">
        <v>0.6169</v>
      </c>
      <c r="F43" s="43">
        <v>0.73219999999999996</v>
      </c>
      <c r="G43" s="43">
        <v>0.42320000000000002</v>
      </c>
      <c r="H43" s="51" t="s">
        <v>136</v>
      </c>
    </row>
    <row r="44" spans="1:8" x14ac:dyDescent="0.25">
      <c r="A44" s="50">
        <v>0.31</v>
      </c>
      <c r="B44" s="50">
        <v>580</v>
      </c>
      <c r="C44" s="50">
        <v>765</v>
      </c>
      <c r="D44" s="50">
        <v>390</v>
      </c>
      <c r="E44" s="43">
        <v>0.59140000000000004</v>
      </c>
      <c r="F44" s="43">
        <v>0.78010000000000002</v>
      </c>
      <c r="G44" s="43">
        <v>0.3977</v>
      </c>
      <c r="H44" s="50"/>
    </row>
    <row r="45" spans="1:8" x14ac:dyDescent="0.25">
      <c r="A45" s="50">
        <v>0.33</v>
      </c>
      <c r="B45" s="50">
        <v>540</v>
      </c>
      <c r="C45" s="50">
        <v>825</v>
      </c>
      <c r="D45" s="50">
        <v>340</v>
      </c>
      <c r="E45" s="43">
        <v>0.55059999999999998</v>
      </c>
      <c r="F45" s="43">
        <v>0.84130000000000005</v>
      </c>
      <c r="G45" s="43">
        <v>0.34670000000000001</v>
      </c>
      <c r="H45" s="51"/>
    </row>
    <row r="46" spans="1:8" x14ac:dyDescent="0.25">
      <c r="A46" s="50">
        <v>0.35</v>
      </c>
      <c r="B46" s="50">
        <v>612</v>
      </c>
      <c r="C46" s="50">
        <v>935</v>
      </c>
      <c r="D46" s="50">
        <v>260</v>
      </c>
      <c r="E46" s="43">
        <v>0.62409999999999999</v>
      </c>
      <c r="F46" s="43">
        <v>0.95340000000000003</v>
      </c>
      <c r="G46" s="43">
        <v>0.2651</v>
      </c>
      <c r="H46" s="50" t="s">
        <v>137</v>
      </c>
    </row>
    <row r="47" spans="1:8" x14ac:dyDescent="0.25">
      <c r="A47" s="50">
        <v>0.38</v>
      </c>
      <c r="B47" s="50">
        <v>765</v>
      </c>
      <c r="C47" s="50">
        <v>875</v>
      </c>
      <c r="D47" s="50">
        <v>225</v>
      </c>
      <c r="E47" s="43">
        <v>0.78010000000000002</v>
      </c>
      <c r="F47" s="43">
        <v>0.89229999999999998</v>
      </c>
      <c r="G47" s="43">
        <v>0.22939999999999999</v>
      </c>
      <c r="H47" s="50"/>
    </row>
    <row r="48" spans="1:8" x14ac:dyDescent="0.25">
      <c r="A48" s="50">
        <v>0.4</v>
      </c>
      <c r="B48" s="50">
        <v>842</v>
      </c>
      <c r="C48" s="50">
        <v>1150</v>
      </c>
      <c r="D48" s="50">
        <v>198</v>
      </c>
      <c r="E48" s="43">
        <v>0.85860000000000003</v>
      </c>
      <c r="F48" s="43">
        <v>1.1727000000000001</v>
      </c>
      <c r="G48" s="43">
        <v>0.2019</v>
      </c>
      <c r="H48" s="51"/>
    </row>
    <row r="49" spans="1:8" x14ac:dyDescent="0.25">
      <c r="A49" s="50">
        <v>0.42</v>
      </c>
      <c r="B49" s="50">
        <v>892</v>
      </c>
      <c r="C49" s="50">
        <v>1335</v>
      </c>
      <c r="D49" s="50">
        <v>175</v>
      </c>
      <c r="E49" s="43">
        <v>0.90959999999999996</v>
      </c>
      <c r="F49" s="43">
        <v>1.3613</v>
      </c>
      <c r="G49" s="43">
        <v>0.1784</v>
      </c>
      <c r="H49" s="51"/>
    </row>
    <row r="50" spans="1:8" x14ac:dyDescent="0.25">
      <c r="A50" s="50">
        <v>0.44</v>
      </c>
      <c r="B50" s="50">
        <v>805</v>
      </c>
      <c r="C50" s="50">
        <v>1280</v>
      </c>
      <c r="D50" s="50">
        <v>175</v>
      </c>
      <c r="E50" s="43">
        <v>0.82089999999999996</v>
      </c>
      <c r="F50" s="43">
        <v>1.3051999999999999</v>
      </c>
      <c r="G50" s="43">
        <v>0.1784</v>
      </c>
      <c r="H50" s="51"/>
    </row>
    <row r="51" spans="1:8" x14ac:dyDescent="0.25">
      <c r="A51" s="50">
        <v>0.46</v>
      </c>
      <c r="B51" s="50">
        <v>850</v>
      </c>
      <c r="C51" s="50">
        <v>1350</v>
      </c>
      <c r="D51" s="50">
        <v>172</v>
      </c>
      <c r="E51" s="43">
        <v>0.86680000000000001</v>
      </c>
      <c r="F51" s="43">
        <v>1.3766</v>
      </c>
      <c r="G51" s="43">
        <v>0.1754</v>
      </c>
      <c r="H51" s="51"/>
    </row>
    <row r="52" spans="1:8" x14ac:dyDescent="0.25">
      <c r="A52" s="50">
        <v>0.5</v>
      </c>
      <c r="B52" s="50">
        <v>1100</v>
      </c>
      <c r="C52" s="50">
        <v>1620</v>
      </c>
      <c r="D52" s="50">
        <v>178</v>
      </c>
      <c r="E52" s="43">
        <v>1.1216999999999999</v>
      </c>
      <c r="F52" s="43">
        <v>1.6518999999999999</v>
      </c>
      <c r="G52" s="43">
        <v>0.18149999999999999</v>
      </c>
      <c r="H52" s="51"/>
    </row>
    <row r="53" spans="1:8" x14ac:dyDescent="0.25">
      <c r="A53" s="50">
        <v>0.52</v>
      </c>
      <c r="B53" s="50">
        <v>1410</v>
      </c>
      <c r="C53" s="50">
        <v>1800</v>
      </c>
      <c r="D53" s="50">
        <v>165</v>
      </c>
      <c r="E53" s="43">
        <v>1.4378</v>
      </c>
      <c r="F53" s="43">
        <v>1.8354999999999999</v>
      </c>
      <c r="G53" s="43">
        <v>0.16819999999999999</v>
      </c>
      <c r="H53" s="50"/>
    </row>
    <row r="54" spans="1:8" x14ac:dyDescent="0.25">
      <c r="A54" s="50">
        <v>0.54</v>
      </c>
      <c r="B54" s="50">
        <v>1480</v>
      </c>
      <c r="C54" s="50">
        <v>1995</v>
      </c>
      <c r="D54" s="50">
        <v>138</v>
      </c>
      <c r="E54" s="43">
        <v>1.5092000000000001</v>
      </c>
      <c r="F54" s="43">
        <v>2.0343</v>
      </c>
      <c r="G54" s="43">
        <v>0.14069999999999999</v>
      </c>
      <c r="H54" s="51" t="s">
        <v>138</v>
      </c>
    </row>
    <row r="55" spans="1:8" x14ac:dyDescent="0.25">
      <c r="A55" s="50">
        <v>0.56000000000000005</v>
      </c>
      <c r="B55" s="50">
        <v>1625</v>
      </c>
      <c r="C55" s="50">
        <v>1900</v>
      </c>
      <c r="D55" s="50">
        <v>118</v>
      </c>
      <c r="E55" s="43">
        <v>1.657</v>
      </c>
      <c r="F55" s="43">
        <v>1.9375</v>
      </c>
      <c r="G55" s="43">
        <v>0.1203</v>
      </c>
      <c r="H55" s="51" t="s">
        <v>139</v>
      </c>
    </row>
    <row r="56" spans="1:8" x14ac:dyDescent="0.25">
      <c r="A56" s="50">
        <v>0.57999999999999996</v>
      </c>
      <c r="B56" s="50">
        <v>1360</v>
      </c>
      <c r="C56" s="50">
        <v>2000</v>
      </c>
      <c r="D56" s="50">
        <v>132</v>
      </c>
      <c r="E56" s="43">
        <v>1.3868</v>
      </c>
      <c r="F56" s="43">
        <v>2.0394000000000001</v>
      </c>
      <c r="G56" s="43">
        <v>0.1346</v>
      </c>
      <c r="H56" s="51" t="s">
        <v>140</v>
      </c>
    </row>
    <row r="57" spans="1:8" x14ac:dyDescent="0.25">
      <c r="A57" s="50">
        <v>0.6</v>
      </c>
      <c r="B57" s="50">
        <v>1480</v>
      </c>
      <c r="C57" s="50">
        <v>1930</v>
      </c>
      <c r="D57" s="50">
        <v>122</v>
      </c>
      <c r="E57" s="43">
        <v>1.5092000000000001</v>
      </c>
      <c r="F57" s="43">
        <v>1.968</v>
      </c>
      <c r="G57" s="43">
        <v>0.1244</v>
      </c>
      <c r="H57" s="51"/>
    </row>
    <row r="58" spans="1:8" x14ac:dyDescent="0.25">
      <c r="A58" s="50">
        <v>0.65</v>
      </c>
      <c r="B58" s="50">
        <v>1120</v>
      </c>
      <c r="C58" s="50">
        <v>1300</v>
      </c>
      <c r="D58" s="50">
        <v>108</v>
      </c>
      <c r="E58" s="43">
        <v>1.1420999999999999</v>
      </c>
      <c r="F58" s="43">
        <v>1.3255999999999999</v>
      </c>
      <c r="G58" s="43">
        <v>0.1101</v>
      </c>
      <c r="H58" s="51" t="s">
        <v>141</v>
      </c>
    </row>
    <row r="59" spans="1:8" x14ac:dyDescent="0.25">
      <c r="A59" s="50">
        <v>0.7</v>
      </c>
      <c r="B59" s="50">
        <v>680</v>
      </c>
      <c r="C59" s="50">
        <v>750</v>
      </c>
      <c r="D59" s="50">
        <v>135</v>
      </c>
      <c r="E59" s="43">
        <v>0.69340000000000002</v>
      </c>
      <c r="F59" s="43">
        <v>0.76480000000000004</v>
      </c>
      <c r="G59" s="43">
        <v>0.13769999999999999</v>
      </c>
      <c r="H59" s="51"/>
    </row>
    <row r="60" spans="1:8" x14ac:dyDescent="0.25">
      <c r="A60" s="50">
        <v>0.75</v>
      </c>
      <c r="B60" s="50">
        <v>560</v>
      </c>
      <c r="C60" s="50">
        <v>522</v>
      </c>
      <c r="D60" s="50">
        <v>125</v>
      </c>
      <c r="E60" s="43">
        <v>0.57099999999999995</v>
      </c>
      <c r="F60" s="43">
        <v>0.5323</v>
      </c>
      <c r="G60" s="43">
        <v>0.1275</v>
      </c>
      <c r="H60" s="51"/>
    </row>
    <row r="61" spans="1:8" x14ac:dyDescent="0.25">
      <c r="A61" s="50">
        <v>0.8</v>
      </c>
      <c r="B61" s="50">
        <v>450</v>
      </c>
      <c r="C61" s="50">
        <v>480</v>
      </c>
      <c r="D61" s="50">
        <v>85</v>
      </c>
      <c r="E61" s="43">
        <v>0.45889999999999997</v>
      </c>
      <c r="F61" s="43">
        <v>0.48949999999999999</v>
      </c>
      <c r="G61" s="43">
        <v>8.6699999999999999E-2</v>
      </c>
      <c r="H61" s="51"/>
    </row>
    <row r="62" spans="1:8" x14ac:dyDescent="0.25">
      <c r="A62" s="50">
        <v>0.85</v>
      </c>
      <c r="B62" s="50">
        <v>312</v>
      </c>
      <c r="C62" s="50">
        <v>345</v>
      </c>
      <c r="D62" s="50">
        <v>62</v>
      </c>
      <c r="E62" s="43">
        <v>0.31809999999999999</v>
      </c>
      <c r="F62" s="43">
        <v>0.3518</v>
      </c>
      <c r="G62" s="43">
        <v>6.3200000000000006E-2</v>
      </c>
      <c r="H62" s="51"/>
    </row>
    <row r="63" spans="1:8" x14ac:dyDescent="0.25">
      <c r="A63" s="50">
        <v>0.9</v>
      </c>
      <c r="B63" s="50">
        <v>225</v>
      </c>
      <c r="C63" s="50">
        <v>280</v>
      </c>
      <c r="D63" s="50">
        <v>63</v>
      </c>
      <c r="E63" s="43">
        <v>0.22939999999999999</v>
      </c>
      <c r="F63" s="43">
        <v>0.28549999999999998</v>
      </c>
      <c r="G63" s="43">
        <v>6.4199999999999993E-2</v>
      </c>
      <c r="H63" s="51"/>
    </row>
    <row r="64" spans="1:8" x14ac:dyDescent="0.25">
      <c r="A64" s="50">
        <v>0.95</v>
      </c>
      <c r="B64" s="50">
        <v>178</v>
      </c>
      <c r="C64" s="50">
        <v>235</v>
      </c>
      <c r="D64" s="50">
        <v>60</v>
      </c>
      <c r="E64" s="43">
        <v>0.18149999999999999</v>
      </c>
      <c r="F64" s="43">
        <v>0.23960000000000001</v>
      </c>
      <c r="G64" s="43">
        <v>6.1199999999999997E-2</v>
      </c>
      <c r="H64" s="51"/>
    </row>
    <row r="65" spans="1:8" x14ac:dyDescent="0.25">
      <c r="A65" s="50">
        <v>1</v>
      </c>
      <c r="B65" s="50">
        <v>142</v>
      </c>
      <c r="C65" s="50">
        <v>225</v>
      </c>
      <c r="D65" s="50">
        <v>42</v>
      </c>
      <c r="E65" s="43">
        <v>0.14480000000000001</v>
      </c>
      <c r="F65" s="43">
        <v>0.22939999999999999</v>
      </c>
      <c r="G65" s="43">
        <v>4.2799999999999998E-2</v>
      </c>
      <c r="H65" s="51" t="s">
        <v>120</v>
      </c>
    </row>
    <row r="66" spans="1:8" x14ac:dyDescent="0.25">
      <c r="A66" s="50">
        <v>1.1000000000000001</v>
      </c>
      <c r="B66" s="50">
        <v>115</v>
      </c>
      <c r="C66" s="50">
        <v>200</v>
      </c>
      <c r="D66" s="50">
        <v>38</v>
      </c>
      <c r="E66" s="43">
        <v>0.1173</v>
      </c>
      <c r="F66" s="43">
        <v>0.2039</v>
      </c>
      <c r="G66" s="43">
        <v>3.8699999999999998E-2</v>
      </c>
      <c r="H66" s="51"/>
    </row>
    <row r="67" spans="1:8" x14ac:dyDescent="0.25">
      <c r="A67" s="50">
        <v>1.2</v>
      </c>
      <c r="B67" s="50">
        <v>108</v>
      </c>
      <c r="C67" s="50">
        <v>185</v>
      </c>
      <c r="D67" s="50">
        <v>40</v>
      </c>
      <c r="E67" s="43">
        <v>0.1101</v>
      </c>
      <c r="F67" s="43">
        <v>0.18859999999999999</v>
      </c>
      <c r="G67" s="43">
        <v>4.0800000000000003E-2</v>
      </c>
      <c r="H67" s="51"/>
    </row>
    <row r="68" spans="1:8" x14ac:dyDescent="0.25">
      <c r="A68" s="50">
        <v>1.3</v>
      </c>
      <c r="B68" s="50">
        <v>110</v>
      </c>
      <c r="C68" s="50">
        <v>120</v>
      </c>
      <c r="D68" s="50">
        <v>32</v>
      </c>
      <c r="E68" s="43">
        <v>0.11219999999999999</v>
      </c>
      <c r="F68" s="43">
        <v>0.12239999999999999</v>
      </c>
      <c r="G68" s="43">
        <v>3.2599999999999997E-2</v>
      </c>
      <c r="H68" s="51"/>
    </row>
    <row r="69" spans="1:8" x14ac:dyDescent="0.25">
      <c r="A69" s="50">
        <v>1.4</v>
      </c>
      <c r="B69" s="50">
        <v>102</v>
      </c>
      <c r="C69" s="50">
        <v>102</v>
      </c>
      <c r="D69" s="50">
        <v>30</v>
      </c>
      <c r="E69" s="43">
        <v>0.104</v>
      </c>
      <c r="F69" s="43">
        <v>0.104</v>
      </c>
      <c r="G69" s="43">
        <v>3.0599999999999999E-2</v>
      </c>
      <c r="H69" s="50"/>
    </row>
    <row r="70" spans="1:8" x14ac:dyDescent="0.25">
      <c r="A70">
        <v>1.5</v>
      </c>
      <c r="B70">
        <v>108</v>
      </c>
      <c r="C70">
        <v>90</v>
      </c>
      <c r="D70">
        <v>28</v>
      </c>
      <c r="E70" s="43">
        <v>0.1101</v>
      </c>
      <c r="F70" s="43">
        <v>9.1800000000000007E-2</v>
      </c>
      <c r="G70" s="43">
        <v>2.86E-2</v>
      </c>
    </row>
    <row r="71" spans="1:8" x14ac:dyDescent="0.25">
      <c r="A71">
        <v>1.6</v>
      </c>
      <c r="B71">
        <v>80</v>
      </c>
      <c r="C71">
        <v>82</v>
      </c>
      <c r="D71">
        <v>18</v>
      </c>
      <c r="E71" s="43">
        <v>8.1600000000000006E-2</v>
      </c>
      <c r="F71" s="43">
        <v>8.3599999999999994E-2</v>
      </c>
      <c r="G71" s="43">
        <v>1.84E-2</v>
      </c>
    </row>
    <row r="72" spans="1:8" x14ac:dyDescent="0.25">
      <c r="A72">
        <v>1.8</v>
      </c>
      <c r="B72">
        <v>55</v>
      </c>
      <c r="C72">
        <v>52</v>
      </c>
      <c r="D72">
        <v>20</v>
      </c>
      <c r="E72" s="43">
        <v>5.6099999999999997E-2</v>
      </c>
      <c r="F72" s="43">
        <v>5.2999999999999999E-2</v>
      </c>
      <c r="G72" s="43">
        <v>2.0400000000000001E-2</v>
      </c>
    </row>
    <row r="73" spans="1:8" x14ac:dyDescent="0.25">
      <c r="A73">
        <v>2</v>
      </c>
      <c r="B73">
        <v>55</v>
      </c>
      <c r="C73">
        <v>58</v>
      </c>
      <c r="D73">
        <v>21</v>
      </c>
      <c r="E73" s="43">
        <v>5.6099999999999997E-2</v>
      </c>
      <c r="F73" s="43">
        <v>5.91E-2</v>
      </c>
      <c r="G73" s="43">
        <v>2.1399999999999999E-2</v>
      </c>
    </row>
    <row r="74" spans="1:8" x14ac:dyDescent="0.25">
      <c r="A74">
        <v>2.2000000000000002</v>
      </c>
      <c r="B74">
        <v>48</v>
      </c>
      <c r="C74">
        <v>50</v>
      </c>
      <c r="D74">
        <v>15</v>
      </c>
      <c r="E74" s="43">
        <v>4.8899999999999999E-2</v>
      </c>
      <c r="F74" s="43">
        <v>5.0999999999999997E-2</v>
      </c>
      <c r="G74" s="43">
        <v>1.5299999999999999E-2</v>
      </c>
    </row>
    <row r="75" spans="1:8" x14ac:dyDescent="0.25">
      <c r="A75">
        <v>2.5</v>
      </c>
      <c r="B75">
        <v>32</v>
      </c>
      <c r="C75">
        <v>28</v>
      </c>
      <c r="D75">
        <v>8</v>
      </c>
      <c r="E75" s="43">
        <v>3.2599999999999997E-2</v>
      </c>
      <c r="F75" s="43">
        <v>2.86E-2</v>
      </c>
      <c r="G75" s="43">
        <v>8.2000000000000007E-3</v>
      </c>
    </row>
    <row r="76" spans="1:8" x14ac:dyDescent="0.25">
      <c r="A76">
        <v>2.8</v>
      </c>
      <c r="B76">
        <v>25</v>
      </c>
      <c r="C76">
        <v>22</v>
      </c>
      <c r="D76">
        <v>6</v>
      </c>
      <c r="E76" s="43">
        <v>2.5499999999999998E-2</v>
      </c>
      <c r="F76" s="43">
        <v>2.24E-2</v>
      </c>
      <c r="G76" s="43">
        <v>6.1000000000000004E-3</v>
      </c>
    </row>
    <row r="77" spans="1:8" x14ac:dyDescent="0.25">
      <c r="A77">
        <v>3</v>
      </c>
      <c r="B77">
        <v>26</v>
      </c>
      <c r="C77">
        <v>20</v>
      </c>
      <c r="D77">
        <v>5</v>
      </c>
      <c r="E77" s="43">
        <v>2.6499999999999999E-2</v>
      </c>
      <c r="F77" s="43">
        <v>2.0400000000000001E-2</v>
      </c>
      <c r="G77" s="43">
        <v>5.1000000000000004E-3</v>
      </c>
    </row>
    <row r="78" spans="1:8" x14ac:dyDescent="0.25">
      <c r="A78">
        <v>3.5</v>
      </c>
      <c r="B78">
        <v>15</v>
      </c>
      <c r="C78">
        <v>16</v>
      </c>
      <c r="D78">
        <v>4</v>
      </c>
      <c r="E78" s="43">
        <v>1.5299999999999999E-2</v>
      </c>
      <c r="F78" s="43">
        <v>1.6299999999999999E-2</v>
      </c>
      <c r="G78" s="43">
        <v>4.1000000000000003E-3</v>
      </c>
    </row>
    <row r="79" spans="1:8" x14ac:dyDescent="0.25">
      <c r="A79">
        <v>4</v>
      </c>
      <c r="B79">
        <v>12</v>
      </c>
      <c r="C79">
        <v>12</v>
      </c>
      <c r="D79">
        <v>3</v>
      </c>
      <c r="E79" s="43">
        <v>1.2200000000000001E-2</v>
      </c>
      <c r="F79" s="43">
        <v>1.2200000000000001E-2</v>
      </c>
      <c r="G79" s="43">
        <v>3.0999999999999999E-3</v>
      </c>
    </row>
    <row r="80" spans="1:8" x14ac:dyDescent="0.25">
      <c r="A80">
        <v>4.5</v>
      </c>
      <c r="B80">
        <v>8</v>
      </c>
      <c r="C80">
        <v>10</v>
      </c>
      <c r="D80">
        <v>2</v>
      </c>
      <c r="E80" s="43">
        <v>8.2000000000000007E-3</v>
      </c>
      <c r="F80" s="43">
        <v>1.0200000000000001E-2</v>
      </c>
      <c r="G80" s="43">
        <v>2E-3</v>
      </c>
    </row>
    <row r="81" spans="1:8" x14ac:dyDescent="0.25">
      <c r="A81">
        <v>5</v>
      </c>
      <c r="B81">
        <v>6</v>
      </c>
      <c r="C81">
        <v>8</v>
      </c>
      <c r="D81">
        <v>2</v>
      </c>
      <c r="E81" s="43">
        <v>6.1000000000000004E-3</v>
      </c>
      <c r="F81" s="43">
        <v>8.2000000000000007E-3</v>
      </c>
      <c r="G81" s="43">
        <v>2E-3</v>
      </c>
      <c r="H81" t="s">
        <v>142</v>
      </c>
    </row>
  </sheetData>
  <conditionalFormatting sqref="E3:G81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58112D-221A-4697-8303-18F1CA6DDA1A}">
          <x14:formula1>
            <xm:f>Micro_Pereira!$L$8:$R$8</xm:f>
          </x14:formula1>
          <xm:sqref>J24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BF3A-A909-470B-8144-387FE5643445}">
  <sheetPr>
    <tabColor rgb="FFFFFF00"/>
  </sheetPr>
  <dimension ref="A1:L71"/>
  <sheetViews>
    <sheetView showGridLines="0" workbookViewId="0">
      <pane xSplit="1" ySplit="2" topLeftCell="B3" activePane="bottomRight" state="frozen"/>
      <selection activeCell="G3" sqref="G3"/>
      <selection pane="topRight" activeCell="G3" sqref="G3"/>
      <selection pane="bottomLeft" activeCell="G3" sqref="G3"/>
      <selection pane="bottomRight" activeCell="B3" sqref="B3"/>
    </sheetView>
  </sheetViews>
  <sheetFormatPr baseColWidth="10" defaultRowHeight="15" x14ac:dyDescent="0.25"/>
  <cols>
    <col min="8" max="8" width="35.7109375" bestFit="1" customWidth="1"/>
  </cols>
  <sheetData>
    <row r="1" spans="1:8" ht="20.25" thickBot="1" x14ac:dyDescent="0.35">
      <c r="A1" s="42" t="s">
        <v>162</v>
      </c>
    </row>
    <row r="2" spans="1:8" ht="27" thickTop="1" x14ac:dyDescent="0.25">
      <c r="A2" s="49" t="s">
        <v>163</v>
      </c>
      <c r="B2" s="49" t="s">
        <v>164</v>
      </c>
      <c r="C2" s="49" t="s">
        <v>165</v>
      </c>
      <c r="D2" s="49" t="s">
        <v>166</v>
      </c>
      <c r="E2" s="49" t="s">
        <v>167</v>
      </c>
      <c r="F2" s="49" t="s">
        <v>168</v>
      </c>
      <c r="G2" s="49" t="s">
        <v>169</v>
      </c>
      <c r="H2" s="49" t="s">
        <v>170</v>
      </c>
    </row>
    <row r="3" spans="1:8" x14ac:dyDescent="0.25">
      <c r="A3" s="50">
        <v>0.01</v>
      </c>
      <c r="B3" s="50">
        <v>330</v>
      </c>
      <c r="C3" s="50">
        <v>358</v>
      </c>
      <c r="D3" s="50">
        <v>80</v>
      </c>
      <c r="E3" s="53">
        <v>0.33650000000000002</v>
      </c>
      <c r="F3" s="53">
        <v>0.36509999999999998</v>
      </c>
      <c r="G3" s="53">
        <v>8.1600000000000006E-2</v>
      </c>
      <c r="H3" s="50" t="s">
        <v>171</v>
      </c>
    </row>
    <row r="4" spans="1:8" x14ac:dyDescent="0.25">
      <c r="A4" s="50">
        <v>1.2E-2</v>
      </c>
      <c r="B4" s="50">
        <v>340</v>
      </c>
      <c r="C4" s="50">
        <v>328</v>
      </c>
      <c r="D4" s="50">
        <v>72</v>
      </c>
      <c r="E4" s="53">
        <v>0.34670000000000001</v>
      </c>
      <c r="F4" s="53">
        <v>0.33450000000000002</v>
      </c>
      <c r="G4" s="53">
        <v>7.3400000000000007E-2</v>
      </c>
      <c r="H4" s="51"/>
    </row>
    <row r="5" spans="1:8" x14ac:dyDescent="0.25">
      <c r="A5" s="50">
        <v>1.4E-2</v>
      </c>
      <c r="B5" s="50">
        <v>352</v>
      </c>
      <c r="C5" s="50">
        <v>342</v>
      </c>
      <c r="D5" s="50">
        <v>72</v>
      </c>
      <c r="E5" s="53">
        <v>0.3589</v>
      </c>
      <c r="F5" s="53">
        <v>0.34870000000000001</v>
      </c>
      <c r="G5" s="53">
        <v>7.3400000000000007E-2</v>
      </c>
      <c r="H5" s="51"/>
    </row>
    <row r="6" spans="1:8" x14ac:dyDescent="0.25">
      <c r="A6" s="50">
        <v>1.6E-2</v>
      </c>
      <c r="B6" s="50">
        <v>358</v>
      </c>
      <c r="C6" s="50">
        <v>280</v>
      </c>
      <c r="D6" s="50">
        <v>75</v>
      </c>
      <c r="E6" s="53">
        <v>0.36509999999999998</v>
      </c>
      <c r="F6" s="53">
        <v>0.28549999999999998</v>
      </c>
      <c r="G6" s="53">
        <v>7.6499999999999999E-2</v>
      </c>
      <c r="H6" s="51" t="s">
        <v>172</v>
      </c>
    </row>
    <row r="7" spans="1:8" x14ac:dyDescent="0.25">
      <c r="A7" s="50">
        <v>1.7999999999999999E-2</v>
      </c>
      <c r="B7" s="50">
        <v>430</v>
      </c>
      <c r="C7" s="50">
        <v>255</v>
      </c>
      <c r="D7" s="50">
        <v>78</v>
      </c>
      <c r="E7" s="53">
        <v>0.4385</v>
      </c>
      <c r="F7" s="53">
        <v>0.26</v>
      </c>
      <c r="G7" s="53">
        <v>7.9500000000000001E-2</v>
      </c>
      <c r="H7" s="51" t="s">
        <v>173</v>
      </c>
    </row>
    <row r="8" spans="1:8" x14ac:dyDescent="0.25">
      <c r="A8" s="50">
        <v>0.02</v>
      </c>
      <c r="B8" s="50">
        <v>442</v>
      </c>
      <c r="C8" s="50">
        <v>280</v>
      </c>
      <c r="D8" s="50">
        <v>70</v>
      </c>
      <c r="E8" s="53">
        <v>0.45069999999999999</v>
      </c>
      <c r="F8" s="53">
        <v>0.28549999999999998</v>
      </c>
      <c r="G8" s="53">
        <v>7.1400000000000005E-2</v>
      </c>
      <c r="H8" s="51"/>
    </row>
    <row r="9" spans="1:8" x14ac:dyDescent="0.25">
      <c r="A9" s="50">
        <v>2.1999999999999999E-2</v>
      </c>
      <c r="B9" s="50">
        <v>475</v>
      </c>
      <c r="C9" s="50">
        <v>285</v>
      </c>
      <c r="D9" s="50">
        <v>72</v>
      </c>
      <c r="E9" s="53">
        <v>0.4844</v>
      </c>
      <c r="F9" s="53">
        <v>0.29060000000000002</v>
      </c>
      <c r="G9" s="53">
        <v>7.3400000000000007E-2</v>
      </c>
      <c r="H9" s="50" t="s">
        <v>174</v>
      </c>
    </row>
    <row r="10" spans="1:8" x14ac:dyDescent="0.25">
      <c r="A10" s="50">
        <v>2.5000000000000001E-2</v>
      </c>
      <c r="B10" s="50">
        <v>432</v>
      </c>
      <c r="C10" s="50">
        <v>260</v>
      </c>
      <c r="D10" s="50">
        <v>73</v>
      </c>
      <c r="E10" s="53">
        <v>0.4405</v>
      </c>
      <c r="F10" s="53">
        <v>0.2651</v>
      </c>
      <c r="G10" s="53">
        <v>7.4399999999999994E-2</v>
      </c>
      <c r="H10" s="51"/>
    </row>
    <row r="11" spans="1:8" x14ac:dyDescent="0.25">
      <c r="A11" s="50">
        <v>2.8000000000000001E-2</v>
      </c>
      <c r="B11" s="50">
        <v>458</v>
      </c>
      <c r="C11" s="50">
        <v>225</v>
      </c>
      <c r="D11" s="50">
        <v>72</v>
      </c>
      <c r="E11" s="53">
        <v>0.46700000000000003</v>
      </c>
      <c r="F11" s="53">
        <v>0.22939999999999999</v>
      </c>
      <c r="G11" s="53">
        <v>7.3400000000000007E-2</v>
      </c>
      <c r="H11" s="51"/>
    </row>
    <row r="12" spans="1:8" x14ac:dyDescent="0.25">
      <c r="A12" s="50">
        <v>0.03</v>
      </c>
      <c r="B12" s="50">
        <v>442</v>
      </c>
      <c r="C12" s="50">
        <v>233</v>
      </c>
      <c r="D12" s="50">
        <v>75</v>
      </c>
      <c r="E12" s="53">
        <v>0.45069999999999999</v>
      </c>
      <c r="F12" s="53">
        <v>0.23760000000000001</v>
      </c>
      <c r="G12" s="53">
        <v>7.6499999999999999E-2</v>
      </c>
      <c r="H12" s="51"/>
    </row>
    <row r="13" spans="1:8" x14ac:dyDescent="0.25">
      <c r="A13" s="50">
        <v>3.5000000000000003E-2</v>
      </c>
      <c r="B13" s="50">
        <v>365</v>
      </c>
      <c r="C13" s="50">
        <v>212</v>
      </c>
      <c r="D13" s="50">
        <v>76</v>
      </c>
      <c r="E13" s="53">
        <v>0.37219999999999998</v>
      </c>
      <c r="F13" s="53">
        <v>0.2162</v>
      </c>
      <c r="G13" s="53">
        <v>7.7499999999999999E-2</v>
      </c>
      <c r="H13" s="51"/>
    </row>
    <row r="14" spans="1:8" x14ac:dyDescent="0.25">
      <c r="A14" s="50">
        <v>0.04</v>
      </c>
      <c r="B14" s="50">
        <v>348</v>
      </c>
      <c r="C14" s="50">
        <v>200</v>
      </c>
      <c r="D14" s="50">
        <v>78</v>
      </c>
      <c r="E14" s="53">
        <v>0.3548</v>
      </c>
      <c r="F14" s="53">
        <v>0.2039</v>
      </c>
      <c r="G14" s="53">
        <v>7.9500000000000001E-2</v>
      </c>
      <c r="H14" s="51"/>
    </row>
    <row r="15" spans="1:8" x14ac:dyDescent="0.25">
      <c r="A15" s="50">
        <v>4.4999999999999998E-2</v>
      </c>
      <c r="B15" s="50">
        <v>322</v>
      </c>
      <c r="C15" s="50">
        <v>200</v>
      </c>
      <c r="D15" s="50">
        <v>75</v>
      </c>
      <c r="E15" s="53">
        <v>0.32829999999999998</v>
      </c>
      <c r="F15" s="53">
        <v>0.2039</v>
      </c>
      <c r="G15" s="53">
        <v>7.6499999999999999E-2</v>
      </c>
      <c r="H15" s="51"/>
    </row>
    <row r="16" spans="1:8" x14ac:dyDescent="0.25">
      <c r="A16" s="50">
        <v>0.05</v>
      </c>
      <c r="B16" s="50">
        <v>298</v>
      </c>
      <c r="C16" s="50">
        <v>192</v>
      </c>
      <c r="D16" s="50">
        <v>75</v>
      </c>
      <c r="E16" s="53">
        <v>0.3039</v>
      </c>
      <c r="F16" s="53">
        <v>0.1958</v>
      </c>
      <c r="G16" s="53">
        <v>7.6499999999999999E-2</v>
      </c>
      <c r="H16" s="51"/>
    </row>
    <row r="17" spans="1:12" x14ac:dyDescent="0.25">
      <c r="A17" s="50">
        <v>5.5E-2</v>
      </c>
      <c r="B17" s="50">
        <v>278</v>
      </c>
      <c r="C17" s="50">
        <v>182</v>
      </c>
      <c r="D17" s="50">
        <v>73</v>
      </c>
      <c r="E17" s="53">
        <v>0.28349999999999997</v>
      </c>
      <c r="F17" s="53">
        <v>0.18559999999999999</v>
      </c>
      <c r="G17" s="53">
        <v>7.4399999999999994E-2</v>
      </c>
      <c r="H17" s="51"/>
    </row>
    <row r="18" spans="1:12" x14ac:dyDescent="0.25">
      <c r="A18" s="50">
        <v>0.06</v>
      </c>
      <c r="B18" s="50">
        <v>270</v>
      </c>
      <c r="C18" s="50">
        <v>170</v>
      </c>
      <c r="D18" s="50">
        <v>73</v>
      </c>
      <c r="E18" s="53">
        <v>0.27529999999999999</v>
      </c>
      <c r="F18" s="53">
        <v>0.17330000000000001</v>
      </c>
      <c r="G18" s="53">
        <v>7.4399999999999994E-2</v>
      </c>
      <c r="H18" s="51" t="s">
        <v>175</v>
      </c>
    </row>
    <row r="19" spans="1:12" x14ac:dyDescent="0.25">
      <c r="A19" s="50">
        <v>7.0000000000000007E-2</v>
      </c>
      <c r="B19" s="50">
        <v>218</v>
      </c>
      <c r="C19" s="50">
        <v>168</v>
      </c>
      <c r="D19" s="50">
        <v>80</v>
      </c>
      <c r="E19" s="53">
        <v>0.2223</v>
      </c>
      <c r="F19" s="53">
        <v>0.17130000000000001</v>
      </c>
      <c r="G19" s="53">
        <v>8.1600000000000006E-2</v>
      </c>
      <c r="H19" s="51" t="s">
        <v>176</v>
      </c>
    </row>
    <row r="20" spans="1:12" x14ac:dyDescent="0.25">
      <c r="A20" s="50">
        <v>0.08</v>
      </c>
      <c r="B20" s="50">
        <v>218</v>
      </c>
      <c r="C20" s="50">
        <v>175</v>
      </c>
      <c r="D20" s="50">
        <v>78</v>
      </c>
      <c r="E20" s="53">
        <v>0.2223</v>
      </c>
      <c r="F20" s="53">
        <v>0.1784</v>
      </c>
      <c r="G20" s="53">
        <v>7.9500000000000001E-2</v>
      </c>
      <c r="H20" s="51"/>
    </row>
    <row r="21" spans="1:12" x14ac:dyDescent="0.25">
      <c r="A21" s="50">
        <v>0.09</v>
      </c>
      <c r="B21" s="50">
        <v>208</v>
      </c>
      <c r="C21" s="50">
        <v>183</v>
      </c>
      <c r="D21" s="50">
        <v>75</v>
      </c>
      <c r="E21" s="53">
        <v>0.21210000000000001</v>
      </c>
      <c r="F21" s="53">
        <v>0.18659999999999999</v>
      </c>
      <c r="G21" s="53">
        <v>7.6499999999999999E-2</v>
      </c>
      <c r="H21" s="51"/>
    </row>
    <row r="22" spans="1:12" x14ac:dyDescent="0.25">
      <c r="A22" s="50">
        <v>0.1</v>
      </c>
      <c r="B22" s="50">
        <v>202</v>
      </c>
      <c r="C22" s="50">
        <v>185</v>
      </c>
      <c r="D22" s="50">
        <v>102</v>
      </c>
      <c r="E22" s="53">
        <v>0.20599999999999999</v>
      </c>
      <c r="F22" s="53">
        <v>0.18859999999999999</v>
      </c>
      <c r="G22" s="53">
        <v>0.104</v>
      </c>
      <c r="H22" s="50" t="s">
        <v>177</v>
      </c>
    </row>
    <row r="23" spans="1:12" ht="15.75" thickBot="1" x14ac:dyDescent="0.3">
      <c r="A23" s="50">
        <v>0.11</v>
      </c>
      <c r="B23" s="50">
        <v>208</v>
      </c>
      <c r="C23" s="50">
        <v>195</v>
      </c>
      <c r="D23" s="50">
        <v>108</v>
      </c>
      <c r="E23" s="53">
        <v>0.21210000000000001</v>
      </c>
      <c r="F23" s="53">
        <v>0.1988</v>
      </c>
      <c r="G23" s="53">
        <v>0.1101</v>
      </c>
      <c r="H23" s="50"/>
    </row>
    <row r="24" spans="1:12" ht="15.75" thickBot="1" x14ac:dyDescent="0.3">
      <c r="A24" s="50">
        <v>0.12</v>
      </c>
      <c r="B24" s="50">
        <v>205</v>
      </c>
      <c r="C24" s="50">
        <v>202</v>
      </c>
      <c r="D24" s="50">
        <v>80</v>
      </c>
      <c r="E24" s="53">
        <v>0.20899999999999999</v>
      </c>
      <c r="F24" s="53">
        <v>0.20599999999999999</v>
      </c>
      <c r="G24" s="53">
        <v>8.1600000000000006E-2</v>
      </c>
      <c r="H24" s="51" t="s">
        <v>178</v>
      </c>
      <c r="I24" s="54" t="s">
        <v>160</v>
      </c>
      <c r="J24" s="55" t="s">
        <v>179</v>
      </c>
    </row>
    <row r="25" spans="1:12" x14ac:dyDescent="0.25">
      <c r="A25" s="50">
        <v>0.13</v>
      </c>
      <c r="B25" s="50">
        <v>218</v>
      </c>
      <c r="C25" s="50">
        <v>198</v>
      </c>
      <c r="D25" s="50">
        <v>102</v>
      </c>
      <c r="E25" s="53">
        <v>0.2223</v>
      </c>
      <c r="F25" s="53">
        <v>0.2019</v>
      </c>
      <c r="G25" s="53">
        <v>0.104</v>
      </c>
      <c r="H25" s="50"/>
      <c r="I25" s="18" t="s">
        <v>180</v>
      </c>
    </row>
    <row r="26" spans="1:12" x14ac:dyDescent="0.25">
      <c r="A26" s="50">
        <v>0.14000000000000001</v>
      </c>
      <c r="B26" s="50">
        <v>240</v>
      </c>
      <c r="C26" s="50">
        <v>192</v>
      </c>
      <c r="D26" s="50">
        <v>120</v>
      </c>
      <c r="E26" s="53">
        <v>0.2447</v>
      </c>
      <c r="F26" s="53">
        <v>0.1958</v>
      </c>
      <c r="G26" s="53">
        <v>0.12239999999999999</v>
      </c>
      <c r="H26" s="51"/>
      <c r="I26" s="44"/>
      <c r="J26" s="45" t="s">
        <v>103</v>
      </c>
      <c r="K26" s="45" t="s">
        <v>104</v>
      </c>
      <c r="L26" s="45" t="s">
        <v>105</v>
      </c>
    </row>
    <row r="27" spans="1:12" x14ac:dyDescent="0.25">
      <c r="A27" s="50">
        <v>0.15</v>
      </c>
      <c r="B27" s="50">
        <v>242</v>
      </c>
      <c r="C27" s="50">
        <v>198</v>
      </c>
      <c r="D27" s="50">
        <v>118</v>
      </c>
      <c r="E27" s="53">
        <v>0.24679999999999999</v>
      </c>
      <c r="F27" s="53">
        <v>0.2019</v>
      </c>
      <c r="G27" s="53">
        <v>0.1203</v>
      </c>
      <c r="H27" s="51"/>
      <c r="I27" s="46" t="s">
        <v>107</v>
      </c>
      <c r="J27" s="47">
        <f>MAX(E3:E81)</f>
        <v>1.0503</v>
      </c>
      <c r="K27" s="47">
        <f>MAX(F3:F81)</f>
        <v>1.0218</v>
      </c>
      <c r="L27" s="47">
        <f>MAX(G3:G81)</f>
        <v>0.22939999999999999</v>
      </c>
    </row>
    <row r="28" spans="1:12" x14ac:dyDescent="0.25">
      <c r="A28" s="50">
        <v>0.16</v>
      </c>
      <c r="B28" s="50">
        <v>265</v>
      </c>
      <c r="C28" s="50">
        <v>195</v>
      </c>
      <c r="D28" s="50">
        <v>138</v>
      </c>
      <c r="E28" s="53">
        <v>0.2702</v>
      </c>
      <c r="F28" s="53">
        <v>0.1988</v>
      </c>
      <c r="G28" s="53">
        <v>0.14069999999999999</v>
      </c>
      <c r="H28" s="51"/>
      <c r="I28" s="46" t="s">
        <v>108</v>
      </c>
      <c r="J28" s="44">
        <f>INDEX($A$3:$A$81,MATCH(J27,E$3:E$81,0))</f>
        <v>0.62</v>
      </c>
      <c r="K28" s="44">
        <f>INDEX($A$3:$A$81,MATCH(K27,F$3:F$81,0))</f>
        <v>0.65</v>
      </c>
      <c r="L28" s="44">
        <f>INDEX($A$3:$A$81,MATCH(L27,G$3:G$81,0))</f>
        <v>0.31</v>
      </c>
    </row>
    <row r="29" spans="1:12" x14ac:dyDescent="0.25">
      <c r="A29" s="50">
        <v>0.17</v>
      </c>
      <c r="B29" s="50">
        <v>258</v>
      </c>
      <c r="C29" s="50">
        <v>222</v>
      </c>
      <c r="D29" s="50">
        <v>150</v>
      </c>
      <c r="E29" s="53">
        <v>0.2631</v>
      </c>
      <c r="F29" s="53">
        <v>0.22639999999999999</v>
      </c>
      <c r="G29" s="53">
        <v>0.15290000000000001</v>
      </c>
      <c r="H29" s="51"/>
    </row>
    <row r="30" spans="1:12" x14ac:dyDescent="0.25">
      <c r="A30" s="50">
        <v>0.18</v>
      </c>
      <c r="B30" s="50">
        <v>258</v>
      </c>
      <c r="C30" s="50">
        <v>210</v>
      </c>
      <c r="D30" s="50">
        <v>138</v>
      </c>
      <c r="E30" s="53">
        <v>0.2631</v>
      </c>
      <c r="F30" s="53">
        <v>0.21410000000000001</v>
      </c>
      <c r="G30" s="53">
        <v>0.14069999999999999</v>
      </c>
      <c r="H30" s="51"/>
    </row>
    <row r="31" spans="1:12" x14ac:dyDescent="0.25">
      <c r="A31" s="50">
        <v>0.19</v>
      </c>
      <c r="B31" s="50">
        <v>240</v>
      </c>
      <c r="C31" s="50">
        <v>218</v>
      </c>
      <c r="D31" s="50">
        <v>160</v>
      </c>
      <c r="E31" s="53">
        <v>0.2447</v>
      </c>
      <c r="F31" s="53">
        <v>0.2223</v>
      </c>
      <c r="G31" s="53">
        <v>0.16320000000000001</v>
      </c>
      <c r="H31" s="51"/>
    </row>
    <row r="32" spans="1:12" x14ac:dyDescent="0.25">
      <c r="A32" s="50">
        <v>0.21</v>
      </c>
      <c r="B32" s="50">
        <v>270</v>
      </c>
      <c r="C32" s="50">
        <v>228</v>
      </c>
      <c r="D32" s="50">
        <v>140</v>
      </c>
      <c r="E32" s="53">
        <v>0.27529999999999999</v>
      </c>
      <c r="F32" s="53">
        <v>0.23250000000000001</v>
      </c>
      <c r="G32" s="53">
        <v>0.14280000000000001</v>
      </c>
      <c r="H32" s="50"/>
    </row>
    <row r="33" spans="1:8" x14ac:dyDescent="0.25">
      <c r="A33" s="50">
        <v>0.23</v>
      </c>
      <c r="B33" s="50">
        <v>290</v>
      </c>
      <c r="C33" s="50">
        <v>222</v>
      </c>
      <c r="D33" s="50">
        <v>155</v>
      </c>
      <c r="E33" s="53">
        <v>0.29570000000000002</v>
      </c>
      <c r="F33" s="53">
        <v>0.22639999999999999</v>
      </c>
      <c r="G33" s="53">
        <v>0.15809999999999999</v>
      </c>
      <c r="H33" s="51"/>
    </row>
    <row r="34" spans="1:8" x14ac:dyDescent="0.25">
      <c r="A34" s="50">
        <v>0.25</v>
      </c>
      <c r="B34" s="50">
        <v>280</v>
      </c>
      <c r="C34" s="50">
        <v>250</v>
      </c>
      <c r="D34" s="50">
        <v>185</v>
      </c>
      <c r="E34" s="53">
        <v>0.28549999999999998</v>
      </c>
      <c r="F34" s="53">
        <v>0.25490000000000002</v>
      </c>
      <c r="G34" s="53">
        <v>0.18859999999999999</v>
      </c>
      <c r="H34" s="51"/>
    </row>
    <row r="35" spans="1:8" x14ac:dyDescent="0.25">
      <c r="A35" s="50">
        <v>0.27</v>
      </c>
      <c r="B35" s="50">
        <v>312</v>
      </c>
      <c r="C35" s="50">
        <v>258</v>
      </c>
      <c r="D35" s="50">
        <v>218</v>
      </c>
      <c r="E35" s="53">
        <v>0.31809999999999999</v>
      </c>
      <c r="F35" s="53">
        <v>0.2631</v>
      </c>
      <c r="G35" s="53">
        <v>0.2223</v>
      </c>
      <c r="H35" s="51" t="s">
        <v>181</v>
      </c>
    </row>
    <row r="36" spans="1:8" x14ac:dyDescent="0.25">
      <c r="A36" s="50">
        <v>0.28999999999999998</v>
      </c>
      <c r="B36" s="50">
        <v>325</v>
      </c>
      <c r="C36" s="50">
        <v>238</v>
      </c>
      <c r="D36" s="50">
        <v>188</v>
      </c>
      <c r="E36" s="53">
        <v>0.33139999999999997</v>
      </c>
      <c r="F36" s="53">
        <v>0.2427</v>
      </c>
      <c r="G36" s="53">
        <v>0.19170000000000001</v>
      </c>
      <c r="H36" s="51"/>
    </row>
    <row r="37" spans="1:8" x14ac:dyDescent="0.25">
      <c r="A37" s="50">
        <v>0.31</v>
      </c>
      <c r="B37" s="50">
        <v>295</v>
      </c>
      <c r="C37" s="50">
        <v>272</v>
      </c>
      <c r="D37" s="50">
        <v>225</v>
      </c>
      <c r="E37" s="53">
        <v>0.30080000000000001</v>
      </c>
      <c r="F37" s="53">
        <v>0.27739999999999998</v>
      </c>
      <c r="G37" s="53">
        <v>0.22939999999999999</v>
      </c>
      <c r="H37" s="50" t="s">
        <v>182</v>
      </c>
    </row>
    <row r="38" spans="1:8" x14ac:dyDescent="0.25">
      <c r="A38" s="50">
        <v>0.34</v>
      </c>
      <c r="B38" s="50">
        <v>328</v>
      </c>
      <c r="C38" s="50">
        <v>275</v>
      </c>
      <c r="D38" s="50">
        <v>215</v>
      </c>
      <c r="E38" s="53">
        <v>0.33450000000000002</v>
      </c>
      <c r="F38" s="53">
        <v>0.28039999999999998</v>
      </c>
      <c r="G38" s="53">
        <v>0.21920000000000001</v>
      </c>
      <c r="H38" s="50"/>
    </row>
    <row r="39" spans="1:8" x14ac:dyDescent="0.25">
      <c r="A39" s="50">
        <v>0.37</v>
      </c>
      <c r="B39" s="50">
        <v>362</v>
      </c>
      <c r="C39" s="50">
        <v>328</v>
      </c>
      <c r="D39" s="50">
        <v>175</v>
      </c>
      <c r="E39" s="53">
        <v>0.36909999999999998</v>
      </c>
      <c r="F39" s="53">
        <v>0.33450000000000002</v>
      </c>
      <c r="G39" s="53">
        <v>0.1784</v>
      </c>
      <c r="H39" s="51"/>
    </row>
    <row r="40" spans="1:8" x14ac:dyDescent="0.25">
      <c r="A40" s="50">
        <v>0.4</v>
      </c>
      <c r="B40" s="50">
        <v>432</v>
      </c>
      <c r="C40" s="50">
        <v>385</v>
      </c>
      <c r="D40" s="50">
        <v>190</v>
      </c>
      <c r="E40" s="53">
        <v>0.4405</v>
      </c>
      <c r="F40" s="53">
        <v>0.3926</v>
      </c>
      <c r="G40" s="53">
        <v>0.19370000000000001</v>
      </c>
      <c r="H40" s="51" t="s">
        <v>183</v>
      </c>
    </row>
    <row r="41" spans="1:8" x14ac:dyDescent="0.25">
      <c r="A41" s="50">
        <v>0.43</v>
      </c>
      <c r="B41" s="50">
        <v>540</v>
      </c>
      <c r="C41" s="50">
        <v>502</v>
      </c>
      <c r="D41" s="50">
        <v>160</v>
      </c>
      <c r="E41" s="53">
        <v>0.55059999999999998</v>
      </c>
      <c r="F41" s="53">
        <v>0.51190000000000002</v>
      </c>
      <c r="G41" s="53">
        <v>0.16320000000000001</v>
      </c>
      <c r="H41" s="51"/>
    </row>
    <row r="42" spans="1:8" x14ac:dyDescent="0.25">
      <c r="A42" s="50">
        <v>0.46</v>
      </c>
      <c r="B42" s="50">
        <v>525</v>
      </c>
      <c r="C42" s="50">
        <v>492</v>
      </c>
      <c r="D42" s="50">
        <v>155</v>
      </c>
      <c r="E42" s="53">
        <v>0.5353</v>
      </c>
      <c r="F42" s="53">
        <v>0.50170000000000003</v>
      </c>
      <c r="G42" s="53">
        <v>0.15809999999999999</v>
      </c>
      <c r="H42" s="51"/>
    </row>
    <row r="43" spans="1:8" x14ac:dyDescent="0.25">
      <c r="A43" s="50">
        <v>0.49</v>
      </c>
      <c r="B43" s="50">
        <v>625</v>
      </c>
      <c r="C43" s="50">
        <v>555</v>
      </c>
      <c r="D43" s="50">
        <v>132</v>
      </c>
      <c r="E43" s="53">
        <v>0.63729999999999998</v>
      </c>
      <c r="F43" s="53">
        <v>0.56589999999999996</v>
      </c>
      <c r="G43" s="53">
        <v>0.1346</v>
      </c>
      <c r="H43" s="51"/>
    </row>
    <row r="44" spans="1:8" x14ac:dyDescent="0.25">
      <c r="A44" s="50">
        <v>0.52</v>
      </c>
      <c r="B44" s="50">
        <v>780</v>
      </c>
      <c r="C44" s="50">
        <v>682</v>
      </c>
      <c r="D44" s="50">
        <v>175</v>
      </c>
      <c r="E44" s="53">
        <v>0.7954</v>
      </c>
      <c r="F44" s="53">
        <v>0.69540000000000002</v>
      </c>
      <c r="G44" s="53">
        <v>0.1784</v>
      </c>
      <c r="H44" s="50"/>
    </row>
    <row r="45" spans="1:8" x14ac:dyDescent="0.25">
      <c r="A45" s="50">
        <v>0.55000000000000004</v>
      </c>
      <c r="B45" s="50">
        <v>815</v>
      </c>
      <c r="C45" s="50">
        <v>772</v>
      </c>
      <c r="D45" s="50">
        <v>188</v>
      </c>
      <c r="E45" s="53">
        <v>0.83109999999999995</v>
      </c>
      <c r="F45" s="53">
        <v>0.78720000000000001</v>
      </c>
      <c r="G45" s="53">
        <v>0.19170000000000001</v>
      </c>
      <c r="H45" s="51"/>
    </row>
    <row r="46" spans="1:8" x14ac:dyDescent="0.25">
      <c r="A46" s="50">
        <v>0.57999999999999996</v>
      </c>
      <c r="B46" s="50">
        <v>802</v>
      </c>
      <c r="C46" s="50">
        <v>850</v>
      </c>
      <c r="D46" s="50">
        <v>198</v>
      </c>
      <c r="E46" s="53">
        <v>0.81779999999999997</v>
      </c>
      <c r="F46" s="53">
        <v>0.86680000000000001</v>
      </c>
      <c r="G46" s="53">
        <v>0.2019</v>
      </c>
      <c r="H46" s="50" t="s">
        <v>184</v>
      </c>
    </row>
    <row r="47" spans="1:8" x14ac:dyDescent="0.25">
      <c r="A47" s="50">
        <v>0.62</v>
      </c>
      <c r="B47" s="50">
        <v>1030</v>
      </c>
      <c r="C47" s="50">
        <v>780</v>
      </c>
      <c r="D47" s="50">
        <v>180</v>
      </c>
      <c r="E47" s="53">
        <v>1.0503</v>
      </c>
      <c r="F47" s="53">
        <v>0.7954</v>
      </c>
      <c r="G47" s="53">
        <v>0.1835</v>
      </c>
      <c r="H47" s="50" t="s">
        <v>185</v>
      </c>
    </row>
    <row r="48" spans="1:8" x14ac:dyDescent="0.25">
      <c r="A48" s="50">
        <v>0.65</v>
      </c>
      <c r="B48" s="50">
        <v>940</v>
      </c>
      <c r="C48" s="50">
        <v>1002</v>
      </c>
      <c r="D48" s="50">
        <v>182</v>
      </c>
      <c r="E48" s="53">
        <v>0.95850000000000002</v>
      </c>
      <c r="F48" s="53">
        <v>1.0218</v>
      </c>
      <c r="G48" s="53">
        <v>0.18559999999999999</v>
      </c>
      <c r="H48" s="51" t="s">
        <v>186</v>
      </c>
    </row>
    <row r="49" spans="1:8" x14ac:dyDescent="0.25">
      <c r="A49" s="50">
        <v>0.7</v>
      </c>
      <c r="B49" s="50">
        <v>610</v>
      </c>
      <c r="C49" s="50">
        <v>625</v>
      </c>
      <c r="D49" s="50">
        <v>110</v>
      </c>
      <c r="E49" s="53">
        <v>0.622</v>
      </c>
      <c r="F49" s="53">
        <v>0.63729999999999998</v>
      </c>
      <c r="G49" s="53">
        <v>0.11219999999999999</v>
      </c>
      <c r="H49" s="51" t="s">
        <v>187</v>
      </c>
    </row>
    <row r="50" spans="1:8" x14ac:dyDescent="0.25">
      <c r="A50" s="50">
        <v>0.75</v>
      </c>
      <c r="B50" s="50">
        <v>412</v>
      </c>
      <c r="C50" s="50">
        <v>480</v>
      </c>
      <c r="D50" s="50">
        <v>100</v>
      </c>
      <c r="E50" s="53">
        <v>0.42009999999999997</v>
      </c>
      <c r="F50" s="53">
        <v>0.48949999999999999</v>
      </c>
      <c r="G50" s="53">
        <v>0.10199999999999999</v>
      </c>
      <c r="H50" s="51"/>
    </row>
    <row r="51" spans="1:8" x14ac:dyDescent="0.25">
      <c r="A51" s="50">
        <v>0.8</v>
      </c>
      <c r="B51" s="50">
        <v>412</v>
      </c>
      <c r="C51" s="50">
        <v>370</v>
      </c>
      <c r="D51" s="50">
        <v>98</v>
      </c>
      <c r="E51" s="53">
        <v>0.42009999999999997</v>
      </c>
      <c r="F51" s="53">
        <v>0.37730000000000002</v>
      </c>
      <c r="G51" s="53">
        <v>9.9900000000000003E-2</v>
      </c>
      <c r="H51" s="51"/>
    </row>
    <row r="52" spans="1:8" x14ac:dyDescent="0.25">
      <c r="A52" s="50">
        <v>0.85</v>
      </c>
      <c r="B52" s="50">
        <v>378</v>
      </c>
      <c r="C52" s="50">
        <v>380</v>
      </c>
      <c r="D52" s="50">
        <v>72</v>
      </c>
      <c r="E52" s="53">
        <v>0.38550000000000001</v>
      </c>
      <c r="F52" s="53">
        <v>0.38750000000000001</v>
      </c>
      <c r="G52" s="53">
        <v>7.3400000000000007E-2</v>
      </c>
      <c r="H52" s="51"/>
    </row>
    <row r="53" spans="1:8" x14ac:dyDescent="0.25">
      <c r="A53" s="50">
        <v>0.9</v>
      </c>
      <c r="B53" s="50">
        <v>320</v>
      </c>
      <c r="C53" s="50">
        <v>328</v>
      </c>
      <c r="D53" s="50">
        <v>52</v>
      </c>
      <c r="E53" s="53">
        <v>0.32629999999999998</v>
      </c>
      <c r="F53" s="53">
        <v>0.33450000000000002</v>
      </c>
      <c r="G53" s="53">
        <v>5.2999999999999999E-2</v>
      </c>
      <c r="H53" s="50"/>
    </row>
    <row r="54" spans="1:8" x14ac:dyDescent="0.25">
      <c r="A54" s="50">
        <v>0.95</v>
      </c>
      <c r="B54" s="50">
        <v>322</v>
      </c>
      <c r="C54" s="50">
        <v>305</v>
      </c>
      <c r="D54" s="50">
        <v>45</v>
      </c>
      <c r="E54" s="53">
        <v>0.32829999999999998</v>
      </c>
      <c r="F54" s="53">
        <v>0.311</v>
      </c>
      <c r="G54" s="53">
        <v>4.5900000000000003E-2</v>
      </c>
      <c r="H54" s="51"/>
    </row>
    <row r="55" spans="1:8" x14ac:dyDescent="0.25">
      <c r="A55" s="50">
        <v>1</v>
      </c>
      <c r="B55" s="50">
        <v>208</v>
      </c>
      <c r="C55" s="50">
        <v>270</v>
      </c>
      <c r="D55" s="50">
        <v>40</v>
      </c>
      <c r="E55" s="53">
        <v>0.21210000000000001</v>
      </c>
      <c r="F55" s="53">
        <v>0.27529999999999999</v>
      </c>
      <c r="G55" s="53">
        <v>4.0800000000000003E-2</v>
      </c>
      <c r="H55" s="51" t="s">
        <v>188</v>
      </c>
    </row>
    <row r="56" spans="1:8" x14ac:dyDescent="0.25">
      <c r="A56" s="50">
        <v>1.1000000000000001</v>
      </c>
      <c r="B56" s="50">
        <v>138</v>
      </c>
      <c r="C56" s="50">
        <v>215</v>
      </c>
      <c r="D56" s="50">
        <v>45</v>
      </c>
      <c r="E56" s="53">
        <v>0.14069999999999999</v>
      </c>
      <c r="F56" s="53">
        <v>0.21920000000000001</v>
      </c>
      <c r="G56" s="53">
        <v>4.5900000000000003E-2</v>
      </c>
      <c r="H56" s="51"/>
    </row>
    <row r="57" spans="1:8" x14ac:dyDescent="0.25">
      <c r="A57" s="50">
        <v>1.2</v>
      </c>
      <c r="B57" s="50">
        <v>92</v>
      </c>
      <c r="C57" s="50">
        <v>215</v>
      </c>
      <c r="D57" s="50">
        <v>38</v>
      </c>
      <c r="E57" s="53">
        <v>9.3799999999999994E-2</v>
      </c>
      <c r="F57" s="53">
        <v>0.21920000000000001</v>
      </c>
      <c r="G57" s="53">
        <v>3.8699999999999998E-2</v>
      </c>
      <c r="H57" s="51"/>
    </row>
    <row r="58" spans="1:8" x14ac:dyDescent="0.25">
      <c r="A58" s="50">
        <v>1.3</v>
      </c>
      <c r="B58" s="50">
        <v>78</v>
      </c>
      <c r="C58" s="50">
        <v>178</v>
      </c>
      <c r="D58" s="50">
        <v>26</v>
      </c>
      <c r="E58" s="53">
        <v>7.9500000000000001E-2</v>
      </c>
      <c r="F58" s="53">
        <v>0.18149999999999999</v>
      </c>
      <c r="G58" s="53">
        <v>2.6499999999999999E-2</v>
      </c>
      <c r="H58" s="51"/>
    </row>
    <row r="59" spans="1:8" x14ac:dyDescent="0.25">
      <c r="A59" s="50">
        <v>1.4</v>
      </c>
      <c r="B59" s="50">
        <v>82</v>
      </c>
      <c r="C59" s="50">
        <v>165</v>
      </c>
      <c r="D59" s="50">
        <v>22</v>
      </c>
      <c r="E59" s="53">
        <v>8.3599999999999994E-2</v>
      </c>
      <c r="F59" s="53">
        <v>0.16819999999999999</v>
      </c>
      <c r="G59" s="53">
        <v>2.24E-2</v>
      </c>
      <c r="H59" s="51"/>
    </row>
    <row r="60" spans="1:8" x14ac:dyDescent="0.25">
      <c r="A60" s="50">
        <v>1.5</v>
      </c>
      <c r="B60" s="50">
        <v>85</v>
      </c>
      <c r="C60" s="50">
        <v>112</v>
      </c>
      <c r="D60" s="50">
        <v>20</v>
      </c>
      <c r="E60" s="53">
        <v>8.6699999999999999E-2</v>
      </c>
      <c r="F60" s="53">
        <v>0.1142</v>
      </c>
      <c r="G60" s="53">
        <v>2.0400000000000001E-2</v>
      </c>
      <c r="H60" s="51"/>
    </row>
    <row r="61" spans="1:8" x14ac:dyDescent="0.25">
      <c r="A61" s="50">
        <v>1.6</v>
      </c>
      <c r="B61" s="50">
        <v>58</v>
      </c>
      <c r="C61" s="50">
        <v>68</v>
      </c>
      <c r="D61" s="50">
        <v>15</v>
      </c>
      <c r="E61" s="53">
        <v>5.91E-2</v>
      </c>
      <c r="F61" s="53">
        <v>6.93E-2</v>
      </c>
      <c r="G61" s="53">
        <v>1.5299999999999999E-2</v>
      </c>
      <c r="H61" s="51"/>
    </row>
    <row r="62" spans="1:8" x14ac:dyDescent="0.25">
      <c r="A62" s="50">
        <v>1.8</v>
      </c>
      <c r="B62" s="50">
        <v>48</v>
      </c>
      <c r="C62" s="50">
        <v>62</v>
      </c>
      <c r="D62" s="50">
        <v>14</v>
      </c>
      <c r="E62" s="53">
        <v>4.8899999999999999E-2</v>
      </c>
      <c r="F62" s="53">
        <v>6.3200000000000006E-2</v>
      </c>
      <c r="G62" s="53">
        <v>1.43E-2</v>
      </c>
      <c r="H62" s="51"/>
    </row>
    <row r="63" spans="1:8" x14ac:dyDescent="0.25">
      <c r="A63" s="50">
        <v>2</v>
      </c>
      <c r="B63" s="50">
        <v>35</v>
      </c>
      <c r="C63" s="50">
        <v>45</v>
      </c>
      <c r="D63" s="50">
        <v>16</v>
      </c>
      <c r="E63" s="53">
        <v>3.5700000000000003E-2</v>
      </c>
      <c r="F63" s="53">
        <v>4.5900000000000003E-2</v>
      </c>
      <c r="G63" s="53">
        <v>1.6299999999999999E-2</v>
      </c>
      <c r="H63" s="51"/>
    </row>
    <row r="64" spans="1:8" x14ac:dyDescent="0.25">
      <c r="A64" s="50">
        <v>2.2000000000000002</v>
      </c>
      <c r="B64" s="50">
        <v>42</v>
      </c>
      <c r="C64" s="50">
        <v>28</v>
      </c>
      <c r="D64" s="50">
        <v>12</v>
      </c>
      <c r="E64" s="53">
        <v>4.2799999999999998E-2</v>
      </c>
      <c r="F64" s="53">
        <v>2.86E-2</v>
      </c>
      <c r="G64" s="53">
        <v>1.2200000000000001E-2</v>
      </c>
      <c r="H64" s="51"/>
    </row>
    <row r="65" spans="1:8" x14ac:dyDescent="0.25">
      <c r="A65" s="50">
        <v>2.5</v>
      </c>
      <c r="B65" s="50">
        <v>25</v>
      </c>
      <c r="C65" s="50">
        <v>20</v>
      </c>
      <c r="D65" s="50">
        <v>8</v>
      </c>
      <c r="E65" s="53">
        <v>2.5499999999999998E-2</v>
      </c>
      <c r="F65" s="53">
        <v>2.0400000000000001E-2</v>
      </c>
      <c r="G65" s="53">
        <v>8.2000000000000007E-3</v>
      </c>
      <c r="H65" s="51"/>
    </row>
    <row r="66" spans="1:8" x14ac:dyDescent="0.25">
      <c r="A66" s="50">
        <v>2.8</v>
      </c>
      <c r="B66" s="50">
        <v>22</v>
      </c>
      <c r="C66" s="50">
        <v>25</v>
      </c>
      <c r="D66" s="50">
        <v>6</v>
      </c>
      <c r="E66" s="53">
        <v>2.24E-2</v>
      </c>
      <c r="F66" s="53">
        <v>2.5499999999999998E-2</v>
      </c>
      <c r="G66" s="53">
        <v>6.1000000000000004E-3</v>
      </c>
      <c r="H66" s="51"/>
    </row>
    <row r="67" spans="1:8" x14ac:dyDescent="0.25">
      <c r="A67" s="50">
        <v>3</v>
      </c>
      <c r="B67" s="50">
        <v>18</v>
      </c>
      <c r="C67" s="50">
        <v>18</v>
      </c>
      <c r="D67" s="50">
        <v>6</v>
      </c>
      <c r="E67" s="53">
        <v>1.84E-2</v>
      </c>
      <c r="F67" s="53">
        <v>1.84E-2</v>
      </c>
      <c r="G67" s="53">
        <v>6.1000000000000004E-3</v>
      </c>
      <c r="H67" s="51"/>
    </row>
    <row r="68" spans="1:8" x14ac:dyDescent="0.25">
      <c r="A68" s="50">
        <v>3.5</v>
      </c>
      <c r="B68" s="50">
        <v>15</v>
      </c>
      <c r="C68" s="50">
        <v>12</v>
      </c>
      <c r="D68" s="50">
        <v>5</v>
      </c>
      <c r="E68" s="53">
        <v>1.5299999999999999E-2</v>
      </c>
      <c r="F68" s="53">
        <v>1.2200000000000001E-2</v>
      </c>
      <c r="G68" s="53">
        <v>5.1000000000000004E-3</v>
      </c>
      <c r="H68" s="51"/>
    </row>
    <row r="69" spans="1:8" x14ac:dyDescent="0.25">
      <c r="A69" s="50">
        <v>4</v>
      </c>
      <c r="B69" s="50">
        <v>10</v>
      </c>
      <c r="C69" s="50">
        <v>8</v>
      </c>
      <c r="D69" s="50">
        <v>4</v>
      </c>
      <c r="E69" s="53">
        <v>1.0200000000000001E-2</v>
      </c>
      <c r="F69" s="53">
        <v>8.2000000000000007E-3</v>
      </c>
      <c r="G69" s="53">
        <v>4.1000000000000003E-3</v>
      </c>
      <c r="H69" s="51"/>
    </row>
    <row r="70" spans="1:8" x14ac:dyDescent="0.25">
      <c r="A70" s="50">
        <v>4.5</v>
      </c>
      <c r="B70" s="50">
        <v>8</v>
      </c>
      <c r="C70" s="50">
        <v>6</v>
      </c>
      <c r="D70" s="50">
        <v>3</v>
      </c>
      <c r="E70" s="53">
        <v>8.2000000000000007E-3</v>
      </c>
      <c r="F70" s="53">
        <v>6.1000000000000004E-3</v>
      </c>
      <c r="G70" s="53">
        <v>3.0999999999999999E-3</v>
      </c>
      <c r="H70" s="51"/>
    </row>
    <row r="71" spans="1:8" x14ac:dyDescent="0.25">
      <c r="A71" s="50">
        <v>5</v>
      </c>
      <c r="B71" s="50">
        <v>5</v>
      </c>
      <c r="C71" s="50">
        <v>5</v>
      </c>
      <c r="D71" s="50">
        <v>2</v>
      </c>
      <c r="E71" s="53">
        <v>5.1000000000000004E-3</v>
      </c>
      <c r="F71" s="53">
        <v>5.1000000000000004E-3</v>
      </c>
      <c r="G71" s="53">
        <v>2E-3</v>
      </c>
      <c r="H71" s="50" t="s">
        <v>189</v>
      </c>
    </row>
  </sheetData>
  <conditionalFormatting sqref="E3:G71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245470-B8E6-4781-A0D8-D79692B61E24}">
          <x14:formula1>
            <xm:f>Micro_Manizales!$L$8:$N$8</xm:f>
          </x14:formula1>
          <xm:sqref>J24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5DE8-4331-4223-B804-6D3BE6A862A0}">
  <dimension ref="A1:X65"/>
  <sheetViews>
    <sheetView showGridLines="0" zoomScale="85" zoomScaleNormal="85" zoomScaleSheetLayoutView="85" workbookViewId="0">
      <selection activeCell="G3" sqref="G3"/>
    </sheetView>
  </sheetViews>
  <sheetFormatPr baseColWidth="10" defaultRowHeight="14.25" x14ac:dyDescent="0.2"/>
  <cols>
    <col min="1" max="1" width="7.5703125" style="64" bestFit="1" customWidth="1"/>
    <col min="2" max="2" width="8.7109375" style="64" customWidth="1"/>
    <col min="3" max="3" width="5.140625" style="64" customWidth="1"/>
    <col min="4" max="4" width="5.5703125" style="64" customWidth="1"/>
    <col min="5" max="5" width="8.140625" style="64" customWidth="1"/>
    <col min="6" max="6" width="6.85546875" style="64" customWidth="1"/>
    <col min="7" max="12" width="7" style="64" customWidth="1"/>
    <col min="13" max="14" width="11.42578125" style="17"/>
    <col min="15" max="19" width="11.5703125" style="17" bestFit="1" customWidth="1"/>
    <col min="20" max="20" width="2.28515625" style="17" bestFit="1" customWidth="1"/>
    <col min="21" max="23" width="11.5703125" style="17" bestFit="1" customWidth="1"/>
    <col min="24" max="259" width="11.42578125" style="17"/>
    <col min="260" max="260" width="7.42578125" style="17" bestFit="1" customWidth="1"/>
    <col min="261" max="261" width="7.85546875" style="17" customWidth="1"/>
    <col min="262" max="262" width="5.85546875" style="17" customWidth="1"/>
    <col min="263" max="263" width="4.7109375" style="17" bestFit="1" customWidth="1"/>
    <col min="264" max="264" width="8.140625" style="17" customWidth="1"/>
    <col min="265" max="275" width="11.42578125" style="17"/>
    <col min="276" max="276" width="2" style="17" bestFit="1" customWidth="1"/>
    <col min="277" max="515" width="11.42578125" style="17"/>
    <col min="516" max="516" width="7.42578125" style="17" bestFit="1" customWidth="1"/>
    <col min="517" max="517" width="7.85546875" style="17" customWidth="1"/>
    <col min="518" max="518" width="5.85546875" style="17" customWidth="1"/>
    <col min="519" max="519" width="4.7109375" style="17" bestFit="1" customWidth="1"/>
    <col min="520" max="520" width="8.140625" style="17" customWidth="1"/>
    <col min="521" max="531" width="11.42578125" style="17"/>
    <col min="532" max="532" width="2" style="17" bestFit="1" customWidth="1"/>
    <col min="533" max="771" width="11.42578125" style="17"/>
    <col min="772" max="772" width="7.42578125" style="17" bestFit="1" customWidth="1"/>
    <col min="773" max="773" width="7.85546875" style="17" customWidth="1"/>
    <col min="774" max="774" width="5.85546875" style="17" customWidth="1"/>
    <col min="775" max="775" width="4.7109375" style="17" bestFit="1" customWidth="1"/>
    <col min="776" max="776" width="8.140625" style="17" customWidth="1"/>
    <col min="777" max="787" width="11.42578125" style="17"/>
    <col min="788" max="788" width="2" style="17" bestFit="1" customWidth="1"/>
    <col min="789" max="1027" width="11.42578125" style="17"/>
    <col min="1028" max="1028" width="7.42578125" style="17" bestFit="1" customWidth="1"/>
    <col min="1029" max="1029" width="7.85546875" style="17" customWidth="1"/>
    <col min="1030" max="1030" width="5.85546875" style="17" customWidth="1"/>
    <col min="1031" max="1031" width="4.7109375" style="17" bestFit="1" customWidth="1"/>
    <col min="1032" max="1032" width="8.140625" style="17" customWidth="1"/>
    <col min="1033" max="1043" width="11.42578125" style="17"/>
    <col min="1044" max="1044" width="2" style="17" bestFit="1" customWidth="1"/>
    <col min="1045" max="1283" width="11.42578125" style="17"/>
    <col min="1284" max="1284" width="7.42578125" style="17" bestFit="1" customWidth="1"/>
    <col min="1285" max="1285" width="7.85546875" style="17" customWidth="1"/>
    <col min="1286" max="1286" width="5.85546875" style="17" customWidth="1"/>
    <col min="1287" max="1287" width="4.7109375" style="17" bestFit="1" customWidth="1"/>
    <col min="1288" max="1288" width="8.140625" style="17" customWidth="1"/>
    <col min="1289" max="1299" width="11.42578125" style="17"/>
    <col min="1300" max="1300" width="2" style="17" bestFit="1" customWidth="1"/>
    <col min="1301" max="1539" width="11.42578125" style="17"/>
    <col min="1540" max="1540" width="7.42578125" style="17" bestFit="1" customWidth="1"/>
    <col min="1541" max="1541" width="7.85546875" style="17" customWidth="1"/>
    <col min="1542" max="1542" width="5.85546875" style="17" customWidth="1"/>
    <col min="1543" max="1543" width="4.7109375" style="17" bestFit="1" customWidth="1"/>
    <col min="1544" max="1544" width="8.140625" style="17" customWidth="1"/>
    <col min="1545" max="1555" width="11.42578125" style="17"/>
    <col min="1556" max="1556" width="2" style="17" bestFit="1" customWidth="1"/>
    <col min="1557" max="1795" width="11.42578125" style="17"/>
    <col min="1796" max="1796" width="7.42578125" style="17" bestFit="1" customWidth="1"/>
    <col min="1797" max="1797" width="7.85546875" style="17" customWidth="1"/>
    <col min="1798" max="1798" width="5.85546875" style="17" customWidth="1"/>
    <col min="1799" max="1799" width="4.7109375" style="17" bestFit="1" customWidth="1"/>
    <col min="1800" max="1800" width="8.140625" style="17" customWidth="1"/>
    <col min="1801" max="1811" width="11.42578125" style="17"/>
    <col min="1812" max="1812" width="2" style="17" bestFit="1" customWidth="1"/>
    <col min="1813" max="2051" width="11.42578125" style="17"/>
    <col min="2052" max="2052" width="7.42578125" style="17" bestFit="1" customWidth="1"/>
    <col min="2053" max="2053" width="7.85546875" style="17" customWidth="1"/>
    <col min="2054" max="2054" width="5.85546875" style="17" customWidth="1"/>
    <col min="2055" max="2055" width="4.7109375" style="17" bestFit="1" customWidth="1"/>
    <col min="2056" max="2056" width="8.140625" style="17" customWidth="1"/>
    <col min="2057" max="2067" width="11.42578125" style="17"/>
    <col min="2068" max="2068" width="2" style="17" bestFit="1" customWidth="1"/>
    <col min="2069" max="2307" width="11.42578125" style="17"/>
    <col min="2308" max="2308" width="7.42578125" style="17" bestFit="1" customWidth="1"/>
    <col min="2309" max="2309" width="7.85546875" style="17" customWidth="1"/>
    <col min="2310" max="2310" width="5.85546875" style="17" customWidth="1"/>
    <col min="2311" max="2311" width="4.7109375" style="17" bestFit="1" customWidth="1"/>
    <col min="2312" max="2312" width="8.140625" style="17" customWidth="1"/>
    <col min="2313" max="2323" width="11.42578125" style="17"/>
    <col min="2324" max="2324" width="2" style="17" bestFit="1" customWidth="1"/>
    <col min="2325" max="2563" width="11.42578125" style="17"/>
    <col min="2564" max="2564" width="7.42578125" style="17" bestFit="1" customWidth="1"/>
    <col min="2565" max="2565" width="7.85546875" style="17" customWidth="1"/>
    <col min="2566" max="2566" width="5.85546875" style="17" customWidth="1"/>
    <col min="2567" max="2567" width="4.7109375" style="17" bestFit="1" customWidth="1"/>
    <col min="2568" max="2568" width="8.140625" style="17" customWidth="1"/>
    <col min="2569" max="2579" width="11.42578125" style="17"/>
    <col min="2580" max="2580" width="2" style="17" bestFit="1" customWidth="1"/>
    <col min="2581" max="2819" width="11.42578125" style="17"/>
    <col min="2820" max="2820" width="7.42578125" style="17" bestFit="1" customWidth="1"/>
    <col min="2821" max="2821" width="7.85546875" style="17" customWidth="1"/>
    <col min="2822" max="2822" width="5.85546875" style="17" customWidth="1"/>
    <col min="2823" max="2823" width="4.7109375" style="17" bestFit="1" customWidth="1"/>
    <col min="2824" max="2824" width="8.140625" style="17" customWidth="1"/>
    <col min="2825" max="2835" width="11.42578125" style="17"/>
    <col min="2836" max="2836" width="2" style="17" bestFit="1" customWidth="1"/>
    <col min="2837" max="3075" width="11.42578125" style="17"/>
    <col min="3076" max="3076" width="7.42578125" style="17" bestFit="1" customWidth="1"/>
    <col min="3077" max="3077" width="7.85546875" style="17" customWidth="1"/>
    <col min="3078" max="3078" width="5.85546875" style="17" customWidth="1"/>
    <col min="3079" max="3079" width="4.7109375" style="17" bestFit="1" customWidth="1"/>
    <col min="3080" max="3080" width="8.140625" style="17" customWidth="1"/>
    <col min="3081" max="3091" width="11.42578125" style="17"/>
    <col min="3092" max="3092" width="2" style="17" bestFit="1" customWidth="1"/>
    <col min="3093" max="3331" width="11.42578125" style="17"/>
    <col min="3332" max="3332" width="7.42578125" style="17" bestFit="1" customWidth="1"/>
    <col min="3333" max="3333" width="7.85546875" style="17" customWidth="1"/>
    <col min="3334" max="3334" width="5.85546875" style="17" customWidth="1"/>
    <col min="3335" max="3335" width="4.7109375" style="17" bestFit="1" customWidth="1"/>
    <col min="3336" max="3336" width="8.140625" style="17" customWidth="1"/>
    <col min="3337" max="3347" width="11.42578125" style="17"/>
    <col min="3348" max="3348" width="2" style="17" bestFit="1" customWidth="1"/>
    <col min="3349" max="3587" width="11.42578125" style="17"/>
    <col min="3588" max="3588" width="7.42578125" style="17" bestFit="1" customWidth="1"/>
    <col min="3589" max="3589" width="7.85546875" style="17" customWidth="1"/>
    <col min="3590" max="3590" width="5.85546875" style="17" customWidth="1"/>
    <col min="3591" max="3591" width="4.7109375" style="17" bestFit="1" customWidth="1"/>
    <col min="3592" max="3592" width="8.140625" style="17" customWidth="1"/>
    <col min="3593" max="3603" width="11.42578125" style="17"/>
    <col min="3604" max="3604" width="2" style="17" bestFit="1" customWidth="1"/>
    <col min="3605" max="3843" width="11.42578125" style="17"/>
    <col min="3844" max="3844" width="7.42578125" style="17" bestFit="1" customWidth="1"/>
    <col min="3845" max="3845" width="7.85546875" style="17" customWidth="1"/>
    <col min="3846" max="3846" width="5.85546875" style="17" customWidth="1"/>
    <col min="3847" max="3847" width="4.7109375" style="17" bestFit="1" customWidth="1"/>
    <col min="3848" max="3848" width="8.140625" style="17" customWidth="1"/>
    <col min="3849" max="3859" width="11.42578125" style="17"/>
    <col min="3860" max="3860" width="2" style="17" bestFit="1" customWidth="1"/>
    <col min="3861" max="4099" width="11.42578125" style="17"/>
    <col min="4100" max="4100" width="7.42578125" style="17" bestFit="1" customWidth="1"/>
    <col min="4101" max="4101" width="7.85546875" style="17" customWidth="1"/>
    <col min="4102" max="4102" width="5.85546875" style="17" customWidth="1"/>
    <col min="4103" max="4103" width="4.7109375" style="17" bestFit="1" customWidth="1"/>
    <col min="4104" max="4104" width="8.140625" style="17" customWidth="1"/>
    <col min="4105" max="4115" width="11.42578125" style="17"/>
    <col min="4116" max="4116" width="2" style="17" bestFit="1" customWidth="1"/>
    <col min="4117" max="4355" width="11.42578125" style="17"/>
    <col min="4356" max="4356" width="7.42578125" style="17" bestFit="1" customWidth="1"/>
    <col min="4357" max="4357" width="7.85546875" style="17" customWidth="1"/>
    <col min="4358" max="4358" width="5.85546875" style="17" customWidth="1"/>
    <col min="4359" max="4359" width="4.7109375" style="17" bestFit="1" customWidth="1"/>
    <col min="4360" max="4360" width="8.140625" style="17" customWidth="1"/>
    <col min="4361" max="4371" width="11.42578125" style="17"/>
    <col min="4372" max="4372" width="2" style="17" bestFit="1" customWidth="1"/>
    <col min="4373" max="4611" width="11.42578125" style="17"/>
    <col min="4612" max="4612" width="7.42578125" style="17" bestFit="1" customWidth="1"/>
    <col min="4613" max="4613" width="7.85546875" style="17" customWidth="1"/>
    <col min="4614" max="4614" width="5.85546875" style="17" customWidth="1"/>
    <col min="4615" max="4615" width="4.7109375" style="17" bestFit="1" customWidth="1"/>
    <col min="4616" max="4616" width="8.140625" style="17" customWidth="1"/>
    <col min="4617" max="4627" width="11.42578125" style="17"/>
    <col min="4628" max="4628" width="2" style="17" bestFit="1" customWidth="1"/>
    <col min="4629" max="4867" width="11.42578125" style="17"/>
    <col min="4868" max="4868" width="7.42578125" style="17" bestFit="1" customWidth="1"/>
    <col min="4869" max="4869" width="7.85546875" style="17" customWidth="1"/>
    <col min="4870" max="4870" width="5.85546875" style="17" customWidth="1"/>
    <col min="4871" max="4871" width="4.7109375" style="17" bestFit="1" customWidth="1"/>
    <col min="4872" max="4872" width="8.140625" style="17" customWidth="1"/>
    <col min="4873" max="4883" width="11.42578125" style="17"/>
    <col min="4884" max="4884" width="2" style="17" bestFit="1" customWidth="1"/>
    <col min="4885" max="5123" width="11.42578125" style="17"/>
    <col min="5124" max="5124" width="7.42578125" style="17" bestFit="1" customWidth="1"/>
    <col min="5125" max="5125" width="7.85546875" style="17" customWidth="1"/>
    <col min="5126" max="5126" width="5.85546875" style="17" customWidth="1"/>
    <col min="5127" max="5127" width="4.7109375" style="17" bestFit="1" customWidth="1"/>
    <col min="5128" max="5128" width="8.140625" style="17" customWidth="1"/>
    <col min="5129" max="5139" width="11.42578125" style="17"/>
    <col min="5140" max="5140" width="2" style="17" bestFit="1" customWidth="1"/>
    <col min="5141" max="5379" width="11.42578125" style="17"/>
    <col min="5380" max="5380" width="7.42578125" style="17" bestFit="1" customWidth="1"/>
    <col min="5381" max="5381" width="7.85546875" style="17" customWidth="1"/>
    <col min="5382" max="5382" width="5.85546875" style="17" customWidth="1"/>
    <col min="5383" max="5383" width="4.7109375" style="17" bestFit="1" customWidth="1"/>
    <col min="5384" max="5384" width="8.140625" style="17" customWidth="1"/>
    <col min="5385" max="5395" width="11.42578125" style="17"/>
    <col min="5396" max="5396" width="2" style="17" bestFit="1" customWidth="1"/>
    <col min="5397" max="5635" width="11.42578125" style="17"/>
    <col min="5636" max="5636" width="7.42578125" style="17" bestFit="1" customWidth="1"/>
    <col min="5637" max="5637" width="7.85546875" style="17" customWidth="1"/>
    <col min="5638" max="5638" width="5.85546875" style="17" customWidth="1"/>
    <col min="5639" max="5639" width="4.7109375" style="17" bestFit="1" customWidth="1"/>
    <col min="5640" max="5640" width="8.140625" style="17" customWidth="1"/>
    <col min="5641" max="5651" width="11.42578125" style="17"/>
    <col min="5652" max="5652" width="2" style="17" bestFit="1" customWidth="1"/>
    <col min="5653" max="5891" width="11.42578125" style="17"/>
    <col min="5892" max="5892" width="7.42578125" style="17" bestFit="1" customWidth="1"/>
    <col min="5893" max="5893" width="7.85546875" style="17" customWidth="1"/>
    <col min="5894" max="5894" width="5.85546875" style="17" customWidth="1"/>
    <col min="5895" max="5895" width="4.7109375" style="17" bestFit="1" customWidth="1"/>
    <col min="5896" max="5896" width="8.140625" style="17" customWidth="1"/>
    <col min="5897" max="5907" width="11.42578125" style="17"/>
    <col min="5908" max="5908" width="2" style="17" bestFit="1" customWidth="1"/>
    <col min="5909" max="6147" width="11.42578125" style="17"/>
    <col min="6148" max="6148" width="7.42578125" style="17" bestFit="1" customWidth="1"/>
    <col min="6149" max="6149" width="7.85546875" style="17" customWidth="1"/>
    <col min="6150" max="6150" width="5.85546875" style="17" customWidth="1"/>
    <col min="6151" max="6151" width="4.7109375" style="17" bestFit="1" customWidth="1"/>
    <col min="6152" max="6152" width="8.140625" style="17" customWidth="1"/>
    <col min="6153" max="6163" width="11.42578125" style="17"/>
    <col min="6164" max="6164" width="2" style="17" bestFit="1" customWidth="1"/>
    <col min="6165" max="6403" width="11.42578125" style="17"/>
    <col min="6404" max="6404" width="7.42578125" style="17" bestFit="1" customWidth="1"/>
    <col min="6405" max="6405" width="7.85546875" style="17" customWidth="1"/>
    <col min="6406" max="6406" width="5.85546875" style="17" customWidth="1"/>
    <col min="6407" max="6407" width="4.7109375" style="17" bestFit="1" customWidth="1"/>
    <col min="6408" max="6408" width="8.140625" style="17" customWidth="1"/>
    <col min="6409" max="6419" width="11.42578125" style="17"/>
    <col min="6420" max="6420" width="2" style="17" bestFit="1" customWidth="1"/>
    <col min="6421" max="6659" width="11.42578125" style="17"/>
    <col min="6660" max="6660" width="7.42578125" style="17" bestFit="1" customWidth="1"/>
    <col min="6661" max="6661" width="7.85546875" style="17" customWidth="1"/>
    <col min="6662" max="6662" width="5.85546875" style="17" customWidth="1"/>
    <col min="6663" max="6663" width="4.7109375" style="17" bestFit="1" customWidth="1"/>
    <col min="6664" max="6664" width="8.140625" style="17" customWidth="1"/>
    <col min="6665" max="6675" width="11.42578125" style="17"/>
    <col min="6676" max="6676" width="2" style="17" bestFit="1" customWidth="1"/>
    <col min="6677" max="6915" width="11.42578125" style="17"/>
    <col min="6916" max="6916" width="7.42578125" style="17" bestFit="1" customWidth="1"/>
    <col min="6917" max="6917" width="7.85546875" style="17" customWidth="1"/>
    <col min="6918" max="6918" width="5.85546875" style="17" customWidth="1"/>
    <col min="6919" max="6919" width="4.7109375" style="17" bestFit="1" customWidth="1"/>
    <col min="6920" max="6920" width="8.140625" style="17" customWidth="1"/>
    <col min="6921" max="6931" width="11.42578125" style="17"/>
    <col min="6932" max="6932" width="2" style="17" bestFit="1" customWidth="1"/>
    <col min="6933" max="7171" width="11.42578125" style="17"/>
    <col min="7172" max="7172" width="7.42578125" style="17" bestFit="1" customWidth="1"/>
    <col min="7173" max="7173" width="7.85546875" style="17" customWidth="1"/>
    <col min="7174" max="7174" width="5.85546875" style="17" customWidth="1"/>
    <col min="7175" max="7175" width="4.7109375" style="17" bestFit="1" customWidth="1"/>
    <col min="7176" max="7176" width="8.140625" style="17" customWidth="1"/>
    <col min="7177" max="7187" width="11.42578125" style="17"/>
    <col min="7188" max="7188" width="2" style="17" bestFit="1" customWidth="1"/>
    <col min="7189" max="7427" width="11.42578125" style="17"/>
    <col min="7428" max="7428" width="7.42578125" style="17" bestFit="1" customWidth="1"/>
    <col min="7429" max="7429" width="7.85546875" style="17" customWidth="1"/>
    <col min="7430" max="7430" width="5.85546875" style="17" customWidth="1"/>
    <col min="7431" max="7431" width="4.7109375" style="17" bestFit="1" customWidth="1"/>
    <col min="7432" max="7432" width="8.140625" style="17" customWidth="1"/>
    <col min="7433" max="7443" width="11.42578125" style="17"/>
    <col min="7444" max="7444" width="2" style="17" bestFit="1" customWidth="1"/>
    <col min="7445" max="7683" width="11.42578125" style="17"/>
    <col min="7684" max="7684" width="7.42578125" style="17" bestFit="1" customWidth="1"/>
    <col min="7685" max="7685" width="7.85546875" style="17" customWidth="1"/>
    <col min="7686" max="7686" width="5.85546875" style="17" customWidth="1"/>
    <col min="7687" max="7687" width="4.7109375" style="17" bestFit="1" customWidth="1"/>
    <col min="7688" max="7688" width="8.140625" style="17" customWidth="1"/>
    <col min="7689" max="7699" width="11.42578125" style="17"/>
    <col min="7700" max="7700" width="2" style="17" bestFit="1" customWidth="1"/>
    <col min="7701" max="7939" width="11.42578125" style="17"/>
    <col min="7940" max="7940" width="7.42578125" style="17" bestFit="1" customWidth="1"/>
    <col min="7941" max="7941" width="7.85546875" style="17" customWidth="1"/>
    <col min="7942" max="7942" width="5.85546875" style="17" customWidth="1"/>
    <col min="7943" max="7943" width="4.7109375" style="17" bestFit="1" customWidth="1"/>
    <col min="7944" max="7944" width="8.140625" style="17" customWidth="1"/>
    <col min="7945" max="7955" width="11.42578125" style="17"/>
    <col min="7956" max="7956" width="2" style="17" bestFit="1" customWidth="1"/>
    <col min="7957" max="8195" width="11.42578125" style="17"/>
    <col min="8196" max="8196" width="7.42578125" style="17" bestFit="1" customWidth="1"/>
    <col min="8197" max="8197" width="7.85546875" style="17" customWidth="1"/>
    <col min="8198" max="8198" width="5.85546875" style="17" customWidth="1"/>
    <col min="8199" max="8199" width="4.7109375" style="17" bestFit="1" customWidth="1"/>
    <col min="8200" max="8200" width="8.140625" style="17" customWidth="1"/>
    <col min="8201" max="8211" width="11.42578125" style="17"/>
    <col min="8212" max="8212" width="2" style="17" bestFit="1" customWidth="1"/>
    <col min="8213" max="8451" width="11.42578125" style="17"/>
    <col min="8452" max="8452" width="7.42578125" style="17" bestFit="1" customWidth="1"/>
    <col min="8453" max="8453" width="7.85546875" style="17" customWidth="1"/>
    <col min="8454" max="8454" width="5.85546875" style="17" customWidth="1"/>
    <col min="8455" max="8455" width="4.7109375" style="17" bestFit="1" customWidth="1"/>
    <col min="8456" max="8456" width="8.140625" style="17" customWidth="1"/>
    <col min="8457" max="8467" width="11.42578125" style="17"/>
    <col min="8468" max="8468" width="2" style="17" bestFit="1" customWidth="1"/>
    <col min="8469" max="8707" width="11.42578125" style="17"/>
    <col min="8708" max="8708" width="7.42578125" style="17" bestFit="1" customWidth="1"/>
    <col min="8709" max="8709" width="7.85546875" style="17" customWidth="1"/>
    <col min="8710" max="8710" width="5.85546875" style="17" customWidth="1"/>
    <col min="8711" max="8711" width="4.7109375" style="17" bestFit="1" customWidth="1"/>
    <col min="8712" max="8712" width="8.140625" style="17" customWidth="1"/>
    <col min="8713" max="8723" width="11.42578125" style="17"/>
    <col min="8724" max="8724" width="2" style="17" bestFit="1" customWidth="1"/>
    <col min="8725" max="8963" width="11.42578125" style="17"/>
    <col min="8964" max="8964" width="7.42578125" style="17" bestFit="1" customWidth="1"/>
    <col min="8965" max="8965" width="7.85546875" style="17" customWidth="1"/>
    <col min="8966" max="8966" width="5.85546875" style="17" customWidth="1"/>
    <col min="8967" max="8967" width="4.7109375" style="17" bestFit="1" customWidth="1"/>
    <col min="8968" max="8968" width="8.140625" style="17" customWidth="1"/>
    <col min="8969" max="8979" width="11.42578125" style="17"/>
    <col min="8980" max="8980" width="2" style="17" bestFit="1" customWidth="1"/>
    <col min="8981" max="9219" width="11.42578125" style="17"/>
    <col min="9220" max="9220" width="7.42578125" style="17" bestFit="1" customWidth="1"/>
    <col min="9221" max="9221" width="7.85546875" style="17" customWidth="1"/>
    <col min="9222" max="9222" width="5.85546875" style="17" customWidth="1"/>
    <col min="9223" max="9223" width="4.7109375" style="17" bestFit="1" customWidth="1"/>
    <col min="9224" max="9224" width="8.140625" style="17" customWidth="1"/>
    <col min="9225" max="9235" width="11.42578125" style="17"/>
    <col min="9236" max="9236" width="2" style="17" bestFit="1" customWidth="1"/>
    <col min="9237" max="9475" width="11.42578125" style="17"/>
    <col min="9476" max="9476" width="7.42578125" style="17" bestFit="1" customWidth="1"/>
    <col min="9477" max="9477" width="7.85546875" style="17" customWidth="1"/>
    <col min="9478" max="9478" width="5.85546875" style="17" customWidth="1"/>
    <col min="9479" max="9479" width="4.7109375" style="17" bestFit="1" customWidth="1"/>
    <col min="9480" max="9480" width="8.140625" style="17" customWidth="1"/>
    <col min="9481" max="9491" width="11.42578125" style="17"/>
    <col min="9492" max="9492" width="2" style="17" bestFit="1" customWidth="1"/>
    <col min="9493" max="9731" width="11.42578125" style="17"/>
    <col min="9732" max="9732" width="7.42578125" style="17" bestFit="1" customWidth="1"/>
    <col min="9733" max="9733" width="7.85546875" style="17" customWidth="1"/>
    <col min="9734" max="9734" width="5.85546875" style="17" customWidth="1"/>
    <col min="9735" max="9735" width="4.7109375" style="17" bestFit="1" customWidth="1"/>
    <col min="9736" max="9736" width="8.140625" style="17" customWidth="1"/>
    <col min="9737" max="9747" width="11.42578125" style="17"/>
    <col min="9748" max="9748" width="2" style="17" bestFit="1" customWidth="1"/>
    <col min="9749" max="9987" width="11.42578125" style="17"/>
    <col min="9988" max="9988" width="7.42578125" style="17" bestFit="1" customWidth="1"/>
    <col min="9989" max="9989" width="7.85546875" style="17" customWidth="1"/>
    <col min="9990" max="9990" width="5.85546875" style="17" customWidth="1"/>
    <col min="9991" max="9991" width="4.7109375" style="17" bestFit="1" customWidth="1"/>
    <col min="9992" max="9992" width="8.140625" style="17" customWidth="1"/>
    <col min="9993" max="10003" width="11.42578125" style="17"/>
    <col min="10004" max="10004" width="2" style="17" bestFit="1" customWidth="1"/>
    <col min="10005" max="10243" width="11.42578125" style="17"/>
    <col min="10244" max="10244" width="7.42578125" style="17" bestFit="1" customWidth="1"/>
    <col min="10245" max="10245" width="7.85546875" style="17" customWidth="1"/>
    <col min="10246" max="10246" width="5.85546875" style="17" customWidth="1"/>
    <col min="10247" max="10247" width="4.7109375" style="17" bestFit="1" customWidth="1"/>
    <col min="10248" max="10248" width="8.140625" style="17" customWidth="1"/>
    <col min="10249" max="10259" width="11.42578125" style="17"/>
    <col min="10260" max="10260" width="2" style="17" bestFit="1" customWidth="1"/>
    <col min="10261" max="10499" width="11.42578125" style="17"/>
    <col min="10500" max="10500" width="7.42578125" style="17" bestFit="1" customWidth="1"/>
    <col min="10501" max="10501" width="7.85546875" style="17" customWidth="1"/>
    <col min="10502" max="10502" width="5.85546875" style="17" customWidth="1"/>
    <col min="10503" max="10503" width="4.7109375" style="17" bestFit="1" customWidth="1"/>
    <col min="10504" max="10504" width="8.140625" style="17" customWidth="1"/>
    <col min="10505" max="10515" width="11.42578125" style="17"/>
    <col min="10516" max="10516" width="2" style="17" bestFit="1" customWidth="1"/>
    <col min="10517" max="10755" width="11.42578125" style="17"/>
    <col min="10756" max="10756" width="7.42578125" style="17" bestFit="1" customWidth="1"/>
    <col min="10757" max="10757" width="7.85546875" style="17" customWidth="1"/>
    <col min="10758" max="10758" width="5.85546875" style="17" customWidth="1"/>
    <col min="10759" max="10759" width="4.7109375" style="17" bestFit="1" customWidth="1"/>
    <col min="10760" max="10760" width="8.140625" style="17" customWidth="1"/>
    <col min="10761" max="10771" width="11.42578125" style="17"/>
    <col min="10772" max="10772" width="2" style="17" bestFit="1" customWidth="1"/>
    <col min="10773" max="11011" width="11.42578125" style="17"/>
    <col min="11012" max="11012" width="7.42578125" style="17" bestFit="1" customWidth="1"/>
    <col min="11013" max="11013" width="7.85546875" style="17" customWidth="1"/>
    <col min="11014" max="11014" width="5.85546875" style="17" customWidth="1"/>
    <col min="11015" max="11015" width="4.7109375" style="17" bestFit="1" customWidth="1"/>
    <col min="11016" max="11016" width="8.140625" style="17" customWidth="1"/>
    <col min="11017" max="11027" width="11.42578125" style="17"/>
    <col min="11028" max="11028" width="2" style="17" bestFit="1" customWidth="1"/>
    <col min="11029" max="11267" width="11.42578125" style="17"/>
    <col min="11268" max="11268" width="7.42578125" style="17" bestFit="1" customWidth="1"/>
    <col min="11269" max="11269" width="7.85546875" style="17" customWidth="1"/>
    <col min="11270" max="11270" width="5.85546875" style="17" customWidth="1"/>
    <col min="11271" max="11271" width="4.7109375" style="17" bestFit="1" customWidth="1"/>
    <col min="11272" max="11272" width="8.140625" style="17" customWidth="1"/>
    <col min="11273" max="11283" width="11.42578125" style="17"/>
    <col min="11284" max="11284" width="2" style="17" bestFit="1" customWidth="1"/>
    <col min="11285" max="11523" width="11.42578125" style="17"/>
    <col min="11524" max="11524" width="7.42578125" style="17" bestFit="1" customWidth="1"/>
    <col min="11525" max="11525" width="7.85546875" style="17" customWidth="1"/>
    <col min="11526" max="11526" width="5.85546875" style="17" customWidth="1"/>
    <col min="11527" max="11527" width="4.7109375" style="17" bestFit="1" customWidth="1"/>
    <col min="11528" max="11528" width="8.140625" style="17" customWidth="1"/>
    <col min="11529" max="11539" width="11.42578125" style="17"/>
    <col min="11540" max="11540" width="2" style="17" bestFit="1" customWidth="1"/>
    <col min="11541" max="11779" width="11.42578125" style="17"/>
    <col min="11780" max="11780" width="7.42578125" style="17" bestFit="1" customWidth="1"/>
    <col min="11781" max="11781" width="7.85546875" style="17" customWidth="1"/>
    <col min="11782" max="11782" width="5.85546875" style="17" customWidth="1"/>
    <col min="11783" max="11783" width="4.7109375" style="17" bestFit="1" customWidth="1"/>
    <col min="11784" max="11784" width="8.140625" style="17" customWidth="1"/>
    <col min="11785" max="11795" width="11.42578125" style="17"/>
    <col min="11796" max="11796" width="2" style="17" bestFit="1" customWidth="1"/>
    <col min="11797" max="12035" width="11.42578125" style="17"/>
    <col min="12036" max="12036" width="7.42578125" style="17" bestFit="1" customWidth="1"/>
    <col min="12037" max="12037" width="7.85546875" style="17" customWidth="1"/>
    <col min="12038" max="12038" width="5.85546875" style="17" customWidth="1"/>
    <col min="12039" max="12039" width="4.7109375" style="17" bestFit="1" customWidth="1"/>
    <col min="12040" max="12040" width="8.140625" style="17" customWidth="1"/>
    <col min="12041" max="12051" width="11.42578125" style="17"/>
    <col min="12052" max="12052" width="2" style="17" bestFit="1" customWidth="1"/>
    <col min="12053" max="12291" width="11.42578125" style="17"/>
    <col min="12292" max="12292" width="7.42578125" style="17" bestFit="1" customWidth="1"/>
    <col min="12293" max="12293" width="7.85546875" style="17" customWidth="1"/>
    <col min="12294" max="12294" width="5.85546875" style="17" customWidth="1"/>
    <col min="12295" max="12295" width="4.7109375" style="17" bestFit="1" customWidth="1"/>
    <col min="12296" max="12296" width="8.140625" style="17" customWidth="1"/>
    <col min="12297" max="12307" width="11.42578125" style="17"/>
    <col min="12308" max="12308" width="2" style="17" bestFit="1" customWidth="1"/>
    <col min="12309" max="12547" width="11.42578125" style="17"/>
    <col min="12548" max="12548" width="7.42578125" style="17" bestFit="1" customWidth="1"/>
    <col min="12549" max="12549" width="7.85546875" style="17" customWidth="1"/>
    <col min="12550" max="12550" width="5.85546875" style="17" customWidth="1"/>
    <col min="12551" max="12551" width="4.7109375" style="17" bestFit="1" customWidth="1"/>
    <col min="12552" max="12552" width="8.140625" style="17" customWidth="1"/>
    <col min="12553" max="12563" width="11.42578125" style="17"/>
    <col min="12564" max="12564" width="2" style="17" bestFit="1" customWidth="1"/>
    <col min="12565" max="12803" width="11.42578125" style="17"/>
    <col min="12804" max="12804" width="7.42578125" style="17" bestFit="1" customWidth="1"/>
    <col min="12805" max="12805" width="7.85546875" style="17" customWidth="1"/>
    <col min="12806" max="12806" width="5.85546875" style="17" customWidth="1"/>
    <col min="12807" max="12807" width="4.7109375" style="17" bestFit="1" customWidth="1"/>
    <col min="12808" max="12808" width="8.140625" style="17" customWidth="1"/>
    <col min="12809" max="12819" width="11.42578125" style="17"/>
    <col min="12820" max="12820" width="2" style="17" bestFit="1" customWidth="1"/>
    <col min="12821" max="13059" width="11.42578125" style="17"/>
    <col min="13060" max="13060" width="7.42578125" style="17" bestFit="1" customWidth="1"/>
    <col min="13061" max="13061" width="7.85546875" style="17" customWidth="1"/>
    <col min="13062" max="13062" width="5.85546875" style="17" customWidth="1"/>
    <col min="13063" max="13063" width="4.7109375" style="17" bestFit="1" customWidth="1"/>
    <col min="13064" max="13064" width="8.140625" style="17" customWidth="1"/>
    <col min="13065" max="13075" width="11.42578125" style="17"/>
    <col min="13076" max="13076" width="2" style="17" bestFit="1" customWidth="1"/>
    <col min="13077" max="13315" width="11.42578125" style="17"/>
    <col min="13316" max="13316" width="7.42578125" style="17" bestFit="1" customWidth="1"/>
    <col min="13317" max="13317" width="7.85546875" style="17" customWidth="1"/>
    <col min="13318" max="13318" width="5.85546875" style="17" customWidth="1"/>
    <col min="13319" max="13319" width="4.7109375" style="17" bestFit="1" customWidth="1"/>
    <col min="13320" max="13320" width="8.140625" style="17" customWidth="1"/>
    <col min="13321" max="13331" width="11.42578125" style="17"/>
    <col min="13332" max="13332" width="2" style="17" bestFit="1" customWidth="1"/>
    <col min="13333" max="13571" width="11.42578125" style="17"/>
    <col min="13572" max="13572" width="7.42578125" style="17" bestFit="1" customWidth="1"/>
    <col min="13573" max="13573" width="7.85546875" style="17" customWidth="1"/>
    <col min="13574" max="13574" width="5.85546875" style="17" customWidth="1"/>
    <col min="13575" max="13575" width="4.7109375" style="17" bestFit="1" customWidth="1"/>
    <col min="13576" max="13576" width="8.140625" style="17" customWidth="1"/>
    <col min="13577" max="13587" width="11.42578125" style="17"/>
    <col min="13588" max="13588" width="2" style="17" bestFit="1" customWidth="1"/>
    <col min="13589" max="13827" width="11.42578125" style="17"/>
    <col min="13828" max="13828" width="7.42578125" style="17" bestFit="1" customWidth="1"/>
    <col min="13829" max="13829" width="7.85546875" style="17" customWidth="1"/>
    <col min="13830" max="13830" width="5.85546875" style="17" customWidth="1"/>
    <col min="13831" max="13831" width="4.7109375" style="17" bestFit="1" customWidth="1"/>
    <col min="13832" max="13832" width="8.140625" style="17" customWidth="1"/>
    <col min="13833" max="13843" width="11.42578125" style="17"/>
    <col min="13844" max="13844" width="2" style="17" bestFit="1" customWidth="1"/>
    <col min="13845" max="14083" width="11.42578125" style="17"/>
    <col min="14084" max="14084" width="7.42578125" style="17" bestFit="1" customWidth="1"/>
    <col min="14085" max="14085" width="7.85546875" style="17" customWidth="1"/>
    <col min="14086" max="14086" width="5.85546875" style="17" customWidth="1"/>
    <col min="14087" max="14087" width="4.7109375" style="17" bestFit="1" customWidth="1"/>
    <col min="14088" max="14088" width="8.140625" style="17" customWidth="1"/>
    <col min="14089" max="14099" width="11.42578125" style="17"/>
    <col min="14100" max="14100" width="2" style="17" bestFit="1" customWidth="1"/>
    <col min="14101" max="14339" width="11.42578125" style="17"/>
    <col min="14340" max="14340" width="7.42578125" style="17" bestFit="1" customWidth="1"/>
    <col min="14341" max="14341" width="7.85546875" style="17" customWidth="1"/>
    <col min="14342" max="14342" width="5.85546875" style="17" customWidth="1"/>
    <col min="14343" max="14343" width="4.7109375" style="17" bestFit="1" customWidth="1"/>
    <col min="14344" max="14344" width="8.140625" style="17" customWidth="1"/>
    <col min="14345" max="14355" width="11.42578125" style="17"/>
    <col min="14356" max="14356" width="2" style="17" bestFit="1" customWidth="1"/>
    <col min="14357" max="14595" width="11.42578125" style="17"/>
    <col min="14596" max="14596" width="7.42578125" style="17" bestFit="1" customWidth="1"/>
    <col min="14597" max="14597" width="7.85546875" style="17" customWidth="1"/>
    <col min="14598" max="14598" width="5.85546875" style="17" customWidth="1"/>
    <col min="14599" max="14599" width="4.7109375" style="17" bestFit="1" customWidth="1"/>
    <col min="14600" max="14600" width="8.140625" style="17" customWidth="1"/>
    <col min="14601" max="14611" width="11.42578125" style="17"/>
    <col min="14612" max="14612" width="2" style="17" bestFit="1" customWidth="1"/>
    <col min="14613" max="14851" width="11.42578125" style="17"/>
    <col min="14852" max="14852" width="7.42578125" style="17" bestFit="1" customWidth="1"/>
    <col min="14853" max="14853" width="7.85546875" style="17" customWidth="1"/>
    <col min="14854" max="14854" width="5.85546875" style="17" customWidth="1"/>
    <col min="14855" max="14855" width="4.7109375" style="17" bestFit="1" customWidth="1"/>
    <col min="14856" max="14856" width="8.140625" style="17" customWidth="1"/>
    <col min="14857" max="14867" width="11.42578125" style="17"/>
    <col min="14868" max="14868" width="2" style="17" bestFit="1" customWidth="1"/>
    <col min="14869" max="15107" width="11.42578125" style="17"/>
    <col min="15108" max="15108" width="7.42578125" style="17" bestFit="1" customWidth="1"/>
    <col min="15109" max="15109" width="7.85546875" style="17" customWidth="1"/>
    <col min="15110" max="15110" width="5.85546875" style="17" customWidth="1"/>
    <col min="15111" max="15111" width="4.7109375" style="17" bestFit="1" customWidth="1"/>
    <col min="15112" max="15112" width="8.140625" style="17" customWidth="1"/>
    <col min="15113" max="15123" width="11.42578125" style="17"/>
    <col min="15124" max="15124" width="2" style="17" bestFit="1" customWidth="1"/>
    <col min="15125" max="15363" width="11.42578125" style="17"/>
    <col min="15364" max="15364" width="7.42578125" style="17" bestFit="1" customWidth="1"/>
    <col min="15365" max="15365" width="7.85546875" style="17" customWidth="1"/>
    <col min="15366" max="15366" width="5.85546875" style="17" customWidth="1"/>
    <col min="15367" max="15367" width="4.7109375" style="17" bestFit="1" customWidth="1"/>
    <col min="15368" max="15368" width="8.140625" style="17" customWidth="1"/>
    <col min="15369" max="15379" width="11.42578125" style="17"/>
    <col min="15380" max="15380" width="2" style="17" bestFit="1" customWidth="1"/>
    <col min="15381" max="15619" width="11.42578125" style="17"/>
    <col min="15620" max="15620" width="7.42578125" style="17" bestFit="1" customWidth="1"/>
    <col min="15621" max="15621" width="7.85546875" style="17" customWidth="1"/>
    <col min="15622" max="15622" width="5.85546875" style="17" customWidth="1"/>
    <col min="15623" max="15623" width="4.7109375" style="17" bestFit="1" customWidth="1"/>
    <col min="15624" max="15624" width="8.140625" style="17" customWidth="1"/>
    <col min="15625" max="15635" width="11.42578125" style="17"/>
    <col min="15636" max="15636" width="2" style="17" bestFit="1" customWidth="1"/>
    <col min="15637" max="15875" width="11.42578125" style="17"/>
    <col min="15876" max="15876" width="7.42578125" style="17" bestFit="1" customWidth="1"/>
    <col min="15877" max="15877" width="7.85546875" style="17" customWidth="1"/>
    <col min="15878" max="15878" width="5.85546875" style="17" customWidth="1"/>
    <col min="15879" max="15879" width="4.7109375" style="17" bestFit="1" customWidth="1"/>
    <col min="15880" max="15880" width="8.140625" style="17" customWidth="1"/>
    <col min="15881" max="15891" width="11.42578125" style="17"/>
    <col min="15892" max="15892" width="2" style="17" bestFit="1" customWidth="1"/>
    <col min="15893" max="16131" width="11.42578125" style="17"/>
    <col min="16132" max="16132" width="7.42578125" style="17" bestFit="1" customWidth="1"/>
    <col min="16133" max="16133" width="7.85546875" style="17" customWidth="1"/>
    <col min="16134" max="16134" width="5.85546875" style="17" customWidth="1"/>
    <col min="16135" max="16135" width="4.7109375" style="17" bestFit="1" customWidth="1"/>
    <col min="16136" max="16136" width="8.140625" style="17" customWidth="1"/>
    <col min="16137" max="16147" width="11.42578125" style="17"/>
    <col min="16148" max="16148" width="2" style="17" bestFit="1" customWidth="1"/>
    <col min="16149" max="16384" width="11.42578125" style="17"/>
  </cols>
  <sheetData>
    <row r="1" spans="1:24" ht="45.75" customHeight="1" thickBot="1" x14ac:dyDescent="0.3">
      <c r="A1" s="56"/>
      <c r="B1" s="57"/>
      <c r="C1" s="58"/>
      <c r="D1" s="59" t="s">
        <v>190</v>
      </c>
      <c r="E1" s="60"/>
      <c r="F1" s="60"/>
      <c r="G1" s="60"/>
      <c r="H1" s="60"/>
      <c r="I1" s="60"/>
      <c r="J1" s="60"/>
      <c r="K1" s="60"/>
      <c r="L1" s="61"/>
      <c r="N1" s="62" t="s">
        <v>22</v>
      </c>
      <c r="O1" s="63" t="s">
        <v>23</v>
      </c>
    </row>
    <row r="2" spans="1:24" ht="15" customHeight="1" thickBot="1" x14ac:dyDescent="0.35">
      <c r="I2" s="65" t="s">
        <v>191</v>
      </c>
      <c r="J2" s="66"/>
      <c r="K2" s="66"/>
      <c r="L2" s="67" t="str">
        <f>INICIO!$B$7&amp;", "&amp;INICIO!$B$6</f>
        <v>Armenia, Quindío</v>
      </c>
      <c r="N2" s="21" t="s">
        <v>25</v>
      </c>
      <c r="O2" s="22">
        <v>1.5</v>
      </c>
      <c r="P2" s="17" t="s">
        <v>26</v>
      </c>
    </row>
    <row r="3" spans="1:24" x14ac:dyDescent="0.2">
      <c r="A3" s="68" t="s">
        <v>192</v>
      </c>
      <c r="B3" s="69"/>
      <c r="C3" s="69"/>
      <c r="D3" s="70" t="s">
        <v>65</v>
      </c>
      <c r="N3" s="21" t="s">
        <v>27</v>
      </c>
      <c r="O3" s="22">
        <v>1.25</v>
      </c>
      <c r="P3" s="17" t="s">
        <v>28</v>
      </c>
    </row>
    <row r="4" spans="1:24" ht="15" thickBot="1" x14ac:dyDescent="0.25">
      <c r="A4" s="71" t="s">
        <v>22</v>
      </c>
      <c r="B4" s="72"/>
      <c r="C4" s="72"/>
      <c r="D4" s="73" t="str">
        <f>INICIO!$C$29</f>
        <v>I</v>
      </c>
      <c r="E4" s="64" t="str">
        <f>VLOOKUP($D$4,$N$2:$P$5,3,FALSE)</f>
        <v>Estructuras de ocupación normal</v>
      </c>
      <c r="N4" s="21" t="s">
        <v>31</v>
      </c>
      <c r="O4" s="22">
        <v>1.1000000000000001</v>
      </c>
      <c r="P4" s="17" t="s">
        <v>32</v>
      </c>
    </row>
    <row r="5" spans="1:24" ht="15" thickBot="1" x14ac:dyDescent="0.25">
      <c r="A5" s="74"/>
      <c r="N5" s="24" t="s">
        <v>30</v>
      </c>
      <c r="O5" s="25">
        <v>1</v>
      </c>
      <c r="P5" s="17" t="s">
        <v>33</v>
      </c>
    </row>
    <row r="6" spans="1:24" x14ac:dyDescent="0.2">
      <c r="A6" s="75" t="s">
        <v>193</v>
      </c>
      <c r="B6" s="76">
        <f>VLOOKUP($L$2,BD_Municipios!$D$2:$J$1152,3,FALSE)</f>
        <v>0.25</v>
      </c>
      <c r="D6" s="64" t="str">
        <f>CONCATENATE("Amenaza sísmica: ",VLOOKUP($L$2,BD_Municipios!$D$2:$J$1152,5,FALSE))</f>
        <v>Amenaza sísmica: Alta</v>
      </c>
      <c r="N6" s="77"/>
      <c r="O6" s="78"/>
    </row>
    <row r="7" spans="1:24" ht="15.75" customHeight="1" thickBot="1" x14ac:dyDescent="0.25">
      <c r="A7" s="79" t="s">
        <v>194</v>
      </c>
      <c r="B7" s="80">
        <f>VLOOKUP($L$2,BD_Municipios!$D$2:$J$1152,4,FALSE)</f>
        <v>0.25</v>
      </c>
      <c r="J7" s="81" t="str">
        <f>IF($D$3="F","Estudio Geotécnico","")</f>
        <v/>
      </c>
      <c r="K7" s="82"/>
      <c r="L7" s="83"/>
      <c r="N7" s="84" t="s">
        <v>195</v>
      </c>
      <c r="O7" s="84"/>
      <c r="P7" s="84"/>
      <c r="Q7" s="84"/>
      <c r="R7" s="84"/>
      <c r="S7" s="84"/>
    </row>
    <row r="8" spans="1:24" ht="15" thickBot="1" x14ac:dyDescent="0.25">
      <c r="A8" s="85" t="s">
        <v>196</v>
      </c>
      <c r="B8" s="80">
        <f>VLOOKUP($D$3,$N$10:$X$15,$X$26-$N$26+1,FALSE)</f>
        <v>1.2999999999999998</v>
      </c>
      <c r="D8" s="86" t="s">
        <v>197</v>
      </c>
      <c r="E8" s="76">
        <f>0.1*B7*B9/(B6*B8)</f>
        <v>0.14615384615384616</v>
      </c>
      <c r="J8" s="87" t="str">
        <f>IF($D$3="F","Fa =","")</f>
        <v/>
      </c>
      <c r="L8" s="88"/>
      <c r="N8" s="89" t="s">
        <v>198</v>
      </c>
      <c r="O8" s="90" t="s">
        <v>199</v>
      </c>
      <c r="P8" s="91"/>
      <c r="Q8" s="91"/>
      <c r="R8" s="91"/>
      <c r="S8" s="92"/>
    </row>
    <row r="9" spans="1:24" ht="15.75" thickBot="1" x14ac:dyDescent="0.3">
      <c r="A9" s="93" t="s">
        <v>200</v>
      </c>
      <c r="B9" s="94">
        <f>VLOOKUP($D$3,$N$20:$X$25,$X$26-$N$26+1,FALSE)</f>
        <v>1.9</v>
      </c>
      <c r="D9" s="95" t="s">
        <v>201</v>
      </c>
      <c r="E9" s="80">
        <f>0.48*B7*B9/(B6*B8)</f>
        <v>0.70153846153846156</v>
      </c>
      <c r="J9" s="96" t="str">
        <f>IF($D$3="F","Fv =","")</f>
        <v/>
      </c>
      <c r="K9" s="97"/>
      <c r="L9" s="98"/>
      <c r="N9" s="99"/>
      <c r="O9" s="100">
        <v>0.1</v>
      </c>
      <c r="P9" s="100">
        <v>0.2</v>
      </c>
      <c r="Q9" s="100">
        <v>0.3</v>
      </c>
      <c r="R9" s="101">
        <v>0.4</v>
      </c>
      <c r="S9" s="102">
        <v>0.5</v>
      </c>
      <c r="T9" s="103">
        <v>1</v>
      </c>
      <c r="U9" s="104">
        <f>Aa</f>
        <v>0.25</v>
      </c>
      <c r="V9" s="104">
        <f>HLOOKUP($U$9,$O$9:$S$15,T9)</f>
        <v>0.2</v>
      </c>
      <c r="W9" s="104">
        <f>IF(V9=U9,U9,V9+0.1)</f>
        <v>0.30000000000000004</v>
      </c>
      <c r="X9" s="105">
        <f>U9</f>
        <v>0.25</v>
      </c>
    </row>
    <row r="10" spans="1:24" ht="15" thickBot="1" x14ac:dyDescent="0.25">
      <c r="A10" s="106" t="s">
        <v>202</v>
      </c>
      <c r="B10" s="107">
        <f>VLOOKUP($D$4,$N$2:$O$5,2,FALSE)</f>
        <v>1</v>
      </c>
      <c r="D10" s="108" t="s">
        <v>203</v>
      </c>
      <c r="E10" s="107">
        <f>2.4*B9</f>
        <v>4.5599999999999996</v>
      </c>
      <c r="L10" s="109"/>
      <c r="N10" s="110" t="s">
        <v>179</v>
      </c>
      <c r="O10" s="111">
        <v>0.8</v>
      </c>
      <c r="P10" s="111">
        <v>0.8</v>
      </c>
      <c r="Q10" s="111">
        <v>0.8</v>
      </c>
      <c r="R10" s="111">
        <v>0.8</v>
      </c>
      <c r="S10" s="112">
        <v>0.8</v>
      </c>
      <c r="T10" s="113">
        <v>2</v>
      </c>
      <c r="U10" s="17" t="e">
        <f t="shared" ref="U10:U15" si="0">HLOOKUP($U$9,$O$9:$S$15,T10,FALSE)</f>
        <v>#N/A</v>
      </c>
      <c r="V10" s="17">
        <f t="shared" ref="V10:V15" si="1">IFERROR(U10,HLOOKUP($U$9,$O$9:$S$15,T10))</f>
        <v>0.8</v>
      </c>
      <c r="W10" s="17">
        <f>IFERROR(HLOOKUP($W$9,$O$9:$S$15,T10,FALSE),Q10)</f>
        <v>0.8</v>
      </c>
      <c r="X10" s="114">
        <f>AVERAGE(V10:W10)</f>
        <v>0.8</v>
      </c>
    </row>
    <row r="11" spans="1:24" ht="15" thickBot="1" x14ac:dyDescent="0.25">
      <c r="L11" s="109"/>
      <c r="N11" s="115" t="s">
        <v>60</v>
      </c>
      <c r="O11" s="116">
        <v>1</v>
      </c>
      <c r="P11" s="116">
        <v>1</v>
      </c>
      <c r="Q11" s="116">
        <v>1</v>
      </c>
      <c r="R11" s="116">
        <v>1</v>
      </c>
      <c r="S11" s="22">
        <v>1</v>
      </c>
      <c r="T11" s="103">
        <v>3</v>
      </c>
      <c r="U11" s="17" t="e">
        <f t="shared" si="0"/>
        <v>#N/A</v>
      </c>
      <c r="V11" s="17">
        <f t="shared" si="1"/>
        <v>1</v>
      </c>
      <c r="W11" s="17">
        <f t="shared" ref="W11:W15" si="2">IFERROR(HLOOKUP($W$9,$O$9:$S$15,T11,FALSE),Q11)</f>
        <v>1</v>
      </c>
      <c r="X11" s="114">
        <f t="shared" ref="X11:X14" si="3">AVERAGE(V11:W11)</f>
        <v>1</v>
      </c>
    </row>
    <row r="12" spans="1:24" ht="19.5" thickBot="1" x14ac:dyDescent="0.4">
      <c r="A12" s="117" t="s">
        <v>204</v>
      </c>
      <c r="B12" s="118" t="s">
        <v>205</v>
      </c>
      <c r="C12" s="119" t="s">
        <v>206</v>
      </c>
      <c r="D12" s="119" t="s">
        <v>207</v>
      </c>
      <c r="N12" s="115" t="s">
        <v>63</v>
      </c>
      <c r="O12" s="116">
        <v>1.2</v>
      </c>
      <c r="P12" s="116">
        <v>1.2</v>
      </c>
      <c r="Q12" s="116">
        <v>1.1000000000000001</v>
      </c>
      <c r="R12" s="116">
        <v>1</v>
      </c>
      <c r="S12" s="22">
        <v>1</v>
      </c>
      <c r="T12" s="113">
        <v>4</v>
      </c>
      <c r="U12" s="17" t="e">
        <f t="shared" si="0"/>
        <v>#N/A</v>
      </c>
      <c r="V12" s="17">
        <f t="shared" si="1"/>
        <v>1.2</v>
      </c>
      <c r="W12" s="17">
        <f t="shared" si="2"/>
        <v>1.1000000000000001</v>
      </c>
      <c r="X12" s="114">
        <f t="shared" si="3"/>
        <v>1.1499999999999999</v>
      </c>
    </row>
    <row r="13" spans="1:24" x14ac:dyDescent="0.2">
      <c r="A13" s="120">
        <v>0</v>
      </c>
      <c r="B13" s="121">
        <f t="shared" ref="B13:B44" si="4">IF(T=0,Aa*I*Fa,IF(AND(T&gt;=To,T&lt;=Tc),2.5*Aa*Fa*I,IF(AND(T&gt;Tc,T&lt;=Tl),1.2*Av*Fv*I/T,1.2*Av*Fv*Tl*I/T^2)))</f>
        <v>0.32499999999999996</v>
      </c>
      <c r="C13" s="122">
        <f t="shared" ref="C13:C44" si="5">IF(T&gt;To,Rsis,(Rsis-1)*T/To+1)</f>
        <v>1</v>
      </c>
      <c r="D13" s="122">
        <f t="shared" ref="D13:D65" si="6">B13/C13</f>
        <v>0.32499999999999996</v>
      </c>
      <c r="N13" s="115" t="s">
        <v>65</v>
      </c>
      <c r="O13" s="116">
        <v>1.6</v>
      </c>
      <c r="P13" s="116">
        <v>1.4</v>
      </c>
      <c r="Q13" s="116">
        <v>1.2</v>
      </c>
      <c r="R13" s="116">
        <v>1.1000000000000001</v>
      </c>
      <c r="S13" s="22">
        <v>1</v>
      </c>
      <c r="T13" s="103">
        <v>5</v>
      </c>
      <c r="U13" s="17" t="e">
        <f t="shared" si="0"/>
        <v>#N/A</v>
      </c>
      <c r="V13" s="17">
        <f t="shared" si="1"/>
        <v>1.4</v>
      </c>
      <c r="W13" s="17">
        <f t="shared" si="2"/>
        <v>1.2</v>
      </c>
      <c r="X13" s="114">
        <f t="shared" si="3"/>
        <v>1.2999999999999998</v>
      </c>
    </row>
    <row r="14" spans="1:24" x14ac:dyDescent="0.2">
      <c r="A14" s="123">
        <f t="shared" ref="A14:A65" si="7">IF(A13=0,$E$8,IF(A13=$E$8,$E$9,IF(A13=$E$9,TRUNC($E$9+0.1,1),A13+0.1)))</f>
        <v>0.14615384615384616</v>
      </c>
      <c r="B14" s="124">
        <f t="shared" si="4"/>
        <v>0.81249999999999989</v>
      </c>
      <c r="C14" s="125">
        <f t="shared" si="5"/>
        <v>1.5</v>
      </c>
      <c r="D14" s="125">
        <f t="shared" si="6"/>
        <v>0.54166666666666663</v>
      </c>
      <c r="N14" s="115" t="s">
        <v>208</v>
      </c>
      <c r="O14" s="116">
        <v>2.5</v>
      </c>
      <c r="P14" s="116">
        <v>1.7</v>
      </c>
      <c r="Q14" s="116">
        <v>1.2</v>
      </c>
      <c r="R14" s="116">
        <v>0.9</v>
      </c>
      <c r="S14" s="22">
        <v>0.9</v>
      </c>
      <c r="T14" s="113">
        <v>6</v>
      </c>
      <c r="U14" s="17" t="e">
        <f t="shared" si="0"/>
        <v>#N/A</v>
      </c>
      <c r="V14" s="17">
        <f t="shared" si="1"/>
        <v>1.7</v>
      </c>
      <c r="W14" s="17">
        <f t="shared" si="2"/>
        <v>1.2</v>
      </c>
      <c r="X14" s="114">
        <f t="shared" si="3"/>
        <v>1.45</v>
      </c>
    </row>
    <row r="15" spans="1:24" ht="15" thickBot="1" x14ac:dyDescent="0.25">
      <c r="A15" s="123">
        <f t="shared" si="7"/>
        <v>0.70153846153846156</v>
      </c>
      <c r="B15" s="124">
        <f t="shared" si="4"/>
        <v>0.81249999999999989</v>
      </c>
      <c r="C15" s="125">
        <f t="shared" si="5"/>
        <v>1.5</v>
      </c>
      <c r="D15" s="125">
        <f t="shared" si="6"/>
        <v>0.54166666666666663</v>
      </c>
      <c r="N15" s="126" t="s">
        <v>209</v>
      </c>
      <c r="O15" s="127" t="str">
        <f>IF($L$8=0,"est Geotecnico",$L$8)</f>
        <v>est Geotecnico</v>
      </c>
      <c r="P15" s="127" t="str">
        <f>IF($L$8=0,"est Geotecnico",$L$8)</f>
        <v>est Geotecnico</v>
      </c>
      <c r="Q15" s="127" t="str">
        <f>IF($L$8=0,"est Geotecnico",$L$8)</f>
        <v>est Geotecnico</v>
      </c>
      <c r="R15" s="127" t="str">
        <f>IF($L$8=0,"est Geotecnico",$L$8)</f>
        <v>est Geotecnico</v>
      </c>
      <c r="S15" s="128" t="str">
        <f>IF($L$8=0,"est Geotecnico",$L$8)</f>
        <v>est Geotecnico</v>
      </c>
      <c r="T15" s="103">
        <v>7</v>
      </c>
      <c r="U15" s="17" t="e">
        <f t="shared" si="0"/>
        <v>#N/A</v>
      </c>
      <c r="V15" s="17" t="str">
        <f t="shared" si="1"/>
        <v>est Geotecnico</v>
      </c>
      <c r="W15" s="17" t="str">
        <f t="shared" si="2"/>
        <v>est Geotecnico</v>
      </c>
      <c r="X15" s="129" t="str">
        <f>W15</f>
        <v>est Geotecnico</v>
      </c>
    </row>
    <row r="16" spans="1:24" x14ac:dyDescent="0.2">
      <c r="A16" s="123">
        <f t="shared" si="7"/>
        <v>0.8</v>
      </c>
      <c r="B16" s="124">
        <f t="shared" si="4"/>
        <v>0.71249999999999991</v>
      </c>
      <c r="C16" s="125">
        <f t="shared" si="5"/>
        <v>1.5</v>
      </c>
      <c r="D16" s="125">
        <f t="shared" si="6"/>
        <v>0.47499999999999992</v>
      </c>
    </row>
    <row r="17" spans="1:24" ht="15" thickBot="1" x14ac:dyDescent="0.25">
      <c r="A17" s="123">
        <f t="shared" si="7"/>
        <v>0.9</v>
      </c>
      <c r="B17" s="124">
        <f t="shared" si="4"/>
        <v>0.6333333333333333</v>
      </c>
      <c r="C17" s="125">
        <f t="shared" si="5"/>
        <v>1.5</v>
      </c>
      <c r="D17" s="125">
        <f t="shared" si="6"/>
        <v>0.42222222222222222</v>
      </c>
      <c r="N17" s="84" t="s">
        <v>210</v>
      </c>
      <c r="O17" s="84"/>
      <c r="P17" s="84"/>
      <c r="Q17" s="84"/>
      <c r="R17" s="84"/>
      <c r="S17" s="84"/>
    </row>
    <row r="18" spans="1:24" ht="15" thickBot="1" x14ac:dyDescent="0.25">
      <c r="A18" s="123">
        <f t="shared" si="7"/>
        <v>1</v>
      </c>
      <c r="B18" s="124">
        <f t="shared" si="4"/>
        <v>0.56999999999999995</v>
      </c>
      <c r="C18" s="125">
        <f t="shared" si="5"/>
        <v>1.5</v>
      </c>
      <c r="D18" s="125">
        <f t="shared" si="6"/>
        <v>0.37999999999999995</v>
      </c>
      <c r="N18" s="89" t="s">
        <v>198</v>
      </c>
      <c r="O18" s="90" t="s">
        <v>211</v>
      </c>
      <c r="P18" s="91"/>
      <c r="Q18" s="91"/>
      <c r="R18" s="91"/>
      <c r="S18" s="92"/>
    </row>
    <row r="19" spans="1:24" ht="15.75" thickBot="1" x14ac:dyDescent="0.3">
      <c r="A19" s="123">
        <f t="shared" si="7"/>
        <v>1.1000000000000001</v>
      </c>
      <c r="B19" s="124">
        <f t="shared" si="4"/>
        <v>0.51818181818181808</v>
      </c>
      <c r="C19" s="125">
        <f t="shared" si="5"/>
        <v>1.5</v>
      </c>
      <c r="D19" s="125">
        <f t="shared" si="6"/>
        <v>0.3454545454545454</v>
      </c>
      <c r="N19" s="99"/>
      <c r="O19" s="100">
        <v>0.1</v>
      </c>
      <c r="P19" s="100">
        <v>0.2</v>
      </c>
      <c r="Q19" s="100">
        <v>0.3</v>
      </c>
      <c r="R19" s="101">
        <v>0.4</v>
      </c>
      <c r="S19" s="102">
        <v>0.5</v>
      </c>
      <c r="T19" s="103">
        <v>1</v>
      </c>
      <c r="U19" s="104">
        <f>Av</f>
        <v>0.25</v>
      </c>
      <c r="V19" s="104">
        <f>HLOOKUP($U$9,$O$9:$S$15,T19)</f>
        <v>0.2</v>
      </c>
      <c r="W19" s="104">
        <f>IF(V19=U19,U19,V19+0.1)</f>
        <v>0.30000000000000004</v>
      </c>
      <c r="X19" s="105">
        <f>U19</f>
        <v>0.25</v>
      </c>
    </row>
    <row r="20" spans="1:24" x14ac:dyDescent="0.2">
      <c r="A20" s="123">
        <f t="shared" si="7"/>
        <v>1.2000000000000002</v>
      </c>
      <c r="B20" s="124">
        <f t="shared" si="4"/>
        <v>0.47499999999999987</v>
      </c>
      <c r="C20" s="125">
        <f t="shared" si="5"/>
        <v>1.5</v>
      </c>
      <c r="D20" s="125">
        <f t="shared" si="6"/>
        <v>0.3166666666666666</v>
      </c>
      <c r="N20" s="110" t="s">
        <v>179</v>
      </c>
      <c r="O20" s="111">
        <v>0.8</v>
      </c>
      <c r="P20" s="111">
        <v>0.8</v>
      </c>
      <c r="Q20" s="111">
        <v>0.8</v>
      </c>
      <c r="R20" s="111">
        <v>0.8</v>
      </c>
      <c r="S20" s="112">
        <v>0.8</v>
      </c>
      <c r="T20" s="113">
        <v>2</v>
      </c>
      <c r="U20" s="17" t="e">
        <f t="shared" ref="U20:U25" si="8">HLOOKUP($U$9,$O$19:$S$25,T20,FALSE)</f>
        <v>#N/A</v>
      </c>
      <c r="V20" s="17">
        <f t="shared" ref="V20:V25" si="9">IFERROR(U20,HLOOKUP($U$9,$O$19:$S$25,T20))</f>
        <v>0.8</v>
      </c>
      <c r="W20" s="17">
        <f t="shared" ref="W20:W25" si="10">IFERROR(HLOOKUP($W$9,$O$19:$S$25,T20,FALSE),Q20)</f>
        <v>0.8</v>
      </c>
      <c r="X20" s="114">
        <f>AVERAGE(V20:W20)</f>
        <v>0.8</v>
      </c>
    </row>
    <row r="21" spans="1:24" x14ac:dyDescent="0.2">
      <c r="A21" s="123">
        <f t="shared" si="7"/>
        <v>1.3000000000000003</v>
      </c>
      <c r="B21" s="124">
        <f t="shared" si="4"/>
        <v>0.43846153846153835</v>
      </c>
      <c r="C21" s="125">
        <f t="shared" si="5"/>
        <v>1.5</v>
      </c>
      <c r="D21" s="125">
        <f t="shared" si="6"/>
        <v>0.29230769230769221</v>
      </c>
      <c r="N21" s="115" t="s">
        <v>60</v>
      </c>
      <c r="O21" s="116">
        <v>1</v>
      </c>
      <c r="P21" s="116">
        <v>1</v>
      </c>
      <c r="Q21" s="116">
        <v>1</v>
      </c>
      <c r="R21" s="116">
        <v>1</v>
      </c>
      <c r="S21" s="22">
        <v>1</v>
      </c>
      <c r="T21" s="103">
        <v>3</v>
      </c>
      <c r="U21" s="17" t="e">
        <f t="shared" si="8"/>
        <v>#N/A</v>
      </c>
      <c r="V21" s="17">
        <f t="shared" si="9"/>
        <v>1</v>
      </c>
      <c r="W21" s="17">
        <f t="shared" si="10"/>
        <v>1</v>
      </c>
      <c r="X21" s="114">
        <f t="shared" ref="X21:X24" si="11">AVERAGE(V21:W21)</f>
        <v>1</v>
      </c>
    </row>
    <row r="22" spans="1:24" x14ac:dyDescent="0.2">
      <c r="A22" s="123">
        <f t="shared" si="7"/>
        <v>1.4000000000000004</v>
      </c>
      <c r="B22" s="124">
        <f t="shared" si="4"/>
        <v>0.40714285714285703</v>
      </c>
      <c r="C22" s="125">
        <f t="shared" si="5"/>
        <v>1.5</v>
      </c>
      <c r="D22" s="125">
        <f t="shared" si="6"/>
        <v>0.27142857142857135</v>
      </c>
      <c r="N22" s="115" t="s">
        <v>63</v>
      </c>
      <c r="O22" s="116">
        <v>1.7</v>
      </c>
      <c r="P22" s="116">
        <v>1.6</v>
      </c>
      <c r="Q22" s="116">
        <v>1.5</v>
      </c>
      <c r="R22" s="116">
        <v>1.4</v>
      </c>
      <c r="S22" s="22">
        <v>1.3</v>
      </c>
      <c r="T22" s="113">
        <v>4</v>
      </c>
      <c r="U22" s="17" t="e">
        <f t="shared" si="8"/>
        <v>#N/A</v>
      </c>
      <c r="V22" s="17">
        <f t="shared" si="9"/>
        <v>1.6</v>
      </c>
      <c r="W22" s="17">
        <f t="shared" si="10"/>
        <v>1.5</v>
      </c>
      <c r="X22" s="114">
        <f t="shared" si="11"/>
        <v>1.55</v>
      </c>
    </row>
    <row r="23" spans="1:24" x14ac:dyDescent="0.2">
      <c r="A23" s="123">
        <f t="shared" si="7"/>
        <v>1.5000000000000004</v>
      </c>
      <c r="B23" s="124">
        <f t="shared" si="4"/>
        <v>0.37999999999999984</v>
      </c>
      <c r="C23" s="125">
        <f t="shared" si="5"/>
        <v>1.5</v>
      </c>
      <c r="D23" s="125">
        <f t="shared" si="6"/>
        <v>0.25333333333333324</v>
      </c>
      <c r="N23" s="115" t="s">
        <v>65</v>
      </c>
      <c r="O23" s="116">
        <v>2.4</v>
      </c>
      <c r="P23" s="116">
        <v>2</v>
      </c>
      <c r="Q23" s="116">
        <v>1.8</v>
      </c>
      <c r="R23" s="116">
        <v>1.6</v>
      </c>
      <c r="S23" s="22">
        <v>1.5</v>
      </c>
      <c r="T23" s="103">
        <v>5</v>
      </c>
      <c r="U23" s="17" t="e">
        <f t="shared" si="8"/>
        <v>#N/A</v>
      </c>
      <c r="V23" s="17">
        <f t="shared" si="9"/>
        <v>2</v>
      </c>
      <c r="W23" s="17">
        <f t="shared" si="10"/>
        <v>1.8</v>
      </c>
      <c r="X23" s="114">
        <f t="shared" si="11"/>
        <v>1.9</v>
      </c>
    </row>
    <row r="24" spans="1:24" x14ac:dyDescent="0.2">
      <c r="A24" s="123">
        <f t="shared" si="7"/>
        <v>1.6000000000000005</v>
      </c>
      <c r="B24" s="124">
        <f t="shared" si="4"/>
        <v>0.35624999999999984</v>
      </c>
      <c r="C24" s="125">
        <f t="shared" si="5"/>
        <v>1.5</v>
      </c>
      <c r="D24" s="125">
        <f t="shared" si="6"/>
        <v>0.23749999999999991</v>
      </c>
      <c r="N24" s="115" t="s">
        <v>208</v>
      </c>
      <c r="O24" s="116">
        <v>3.5</v>
      </c>
      <c r="P24" s="116">
        <v>3.2</v>
      </c>
      <c r="Q24" s="116">
        <v>2.8</v>
      </c>
      <c r="R24" s="116">
        <v>2.4</v>
      </c>
      <c r="S24" s="22">
        <v>2.4</v>
      </c>
      <c r="T24" s="113">
        <v>6</v>
      </c>
      <c r="U24" s="17" t="e">
        <f t="shared" si="8"/>
        <v>#N/A</v>
      </c>
      <c r="V24" s="17">
        <f t="shared" si="9"/>
        <v>3.2</v>
      </c>
      <c r="W24" s="17">
        <f t="shared" si="10"/>
        <v>2.8</v>
      </c>
      <c r="X24" s="114">
        <f t="shared" si="11"/>
        <v>3</v>
      </c>
    </row>
    <row r="25" spans="1:24" ht="15" thickBot="1" x14ac:dyDescent="0.25">
      <c r="A25" s="123">
        <f t="shared" si="7"/>
        <v>1.7000000000000006</v>
      </c>
      <c r="B25" s="124">
        <f t="shared" si="4"/>
        <v>0.33529411764705869</v>
      </c>
      <c r="C25" s="125">
        <f t="shared" si="5"/>
        <v>1.5</v>
      </c>
      <c r="D25" s="125">
        <f t="shared" si="6"/>
        <v>0.22352941176470578</v>
      </c>
      <c r="N25" s="126" t="s">
        <v>209</v>
      </c>
      <c r="O25" s="127" t="str">
        <f>IF($L$9=0,"est Geotecnico",$L$9)</f>
        <v>est Geotecnico</v>
      </c>
      <c r="P25" s="127" t="str">
        <f>IF($L$9=0,"est Geotecnico",$L$9)</f>
        <v>est Geotecnico</v>
      </c>
      <c r="Q25" s="127" t="str">
        <f>IF($L$9=0,"est Geotecnico",$L$9)</f>
        <v>est Geotecnico</v>
      </c>
      <c r="R25" s="127" t="str">
        <f>IF($L$9=0,"est Geotecnico",$L$9)</f>
        <v>est Geotecnico</v>
      </c>
      <c r="S25" s="128" t="str">
        <f>IF($L$9=0,"est Geotecnico",$L$9)</f>
        <v>est Geotecnico</v>
      </c>
      <c r="T25" s="103">
        <v>7</v>
      </c>
      <c r="U25" s="17" t="e">
        <f t="shared" si="8"/>
        <v>#N/A</v>
      </c>
      <c r="V25" s="17" t="str">
        <f t="shared" si="9"/>
        <v>est Geotecnico</v>
      </c>
      <c r="W25" s="17" t="str">
        <f t="shared" si="10"/>
        <v>est Geotecnico</v>
      </c>
      <c r="X25" s="129" t="str">
        <f>W25</f>
        <v>est Geotecnico</v>
      </c>
    </row>
    <row r="26" spans="1:24" x14ac:dyDescent="0.2">
      <c r="A26" s="123">
        <f t="shared" si="7"/>
        <v>1.8000000000000007</v>
      </c>
      <c r="B26" s="124">
        <f t="shared" si="4"/>
        <v>0.31666666666666654</v>
      </c>
      <c r="C26" s="125">
        <f t="shared" si="5"/>
        <v>1.5</v>
      </c>
      <c r="D26" s="125">
        <f t="shared" si="6"/>
        <v>0.21111111111111103</v>
      </c>
      <c r="N26" s="130">
        <f>COLUMN()</f>
        <v>14</v>
      </c>
      <c r="X26" s="130">
        <f>COLUMN()</f>
        <v>24</v>
      </c>
    </row>
    <row r="27" spans="1:24" ht="15" thickBot="1" x14ac:dyDescent="0.25">
      <c r="A27" s="123">
        <f t="shared" si="7"/>
        <v>1.9000000000000008</v>
      </c>
      <c r="B27" s="124">
        <f t="shared" si="4"/>
        <v>0.29999999999999982</v>
      </c>
      <c r="C27" s="125">
        <f t="shared" si="5"/>
        <v>1.5</v>
      </c>
      <c r="D27" s="125">
        <f t="shared" si="6"/>
        <v>0.19999999999999987</v>
      </c>
    </row>
    <row r="28" spans="1:24" ht="15" thickBot="1" x14ac:dyDescent="0.25">
      <c r="A28" s="123">
        <f t="shared" si="7"/>
        <v>2.0000000000000009</v>
      </c>
      <c r="B28" s="124">
        <f t="shared" si="4"/>
        <v>0.28499999999999986</v>
      </c>
      <c r="C28" s="125">
        <f t="shared" si="5"/>
        <v>1.5</v>
      </c>
      <c r="D28" s="125">
        <f t="shared" si="6"/>
        <v>0.18999999999999992</v>
      </c>
      <c r="N28" s="131" t="str">
        <f>"Espec. NSR-10, Suelo "&amp;$D$3&amp;", Aa="&amp;$B$6</f>
        <v>Espec. NSR-10, Suelo D, Aa=0.25</v>
      </c>
      <c r="O28" s="132"/>
      <c r="P28" s="133"/>
      <c r="Q28" s="133"/>
      <c r="R28" s="133"/>
      <c r="S28" s="134"/>
    </row>
    <row r="29" spans="1:24" x14ac:dyDescent="0.2">
      <c r="A29" s="123">
        <f t="shared" si="7"/>
        <v>2.100000000000001</v>
      </c>
      <c r="B29" s="124">
        <f t="shared" si="4"/>
        <v>0.2714285714285713</v>
      </c>
      <c r="C29" s="125">
        <f t="shared" si="5"/>
        <v>1.5</v>
      </c>
      <c r="D29" s="125">
        <f t="shared" si="6"/>
        <v>0.18095238095238086</v>
      </c>
    </row>
    <row r="30" spans="1:24" x14ac:dyDescent="0.2">
      <c r="A30" s="123">
        <f t="shared" si="7"/>
        <v>2.2000000000000011</v>
      </c>
      <c r="B30" s="124">
        <f t="shared" si="4"/>
        <v>0.25909090909090893</v>
      </c>
      <c r="C30" s="125">
        <f t="shared" si="5"/>
        <v>1.5</v>
      </c>
      <c r="D30" s="125">
        <f t="shared" si="6"/>
        <v>0.17272727272727262</v>
      </c>
    </row>
    <row r="31" spans="1:24" x14ac:dyDescent="0.2">
      <c r="A31" s="123">
        <f t="shared" si="7"/>
        <v>2.3000000000000012</v>
      </c>
      <c r="B31" s="124">
        <f t="shared" si="4"/>
        <v>0.24782608695652159</v>
      </c>
      <c r="C31" s="125">
        <f t="shared" si="5"/>
        <v>1.5</v>
      </c>
      <c r="D31" s="125">
        <f t="shared" si="6"/>
        <v>0.16521739130434773</v>
      </c>
    </row>
    <row r="32" spans="1:24" x14ac:dyDescent="0.2">
      <c r="A32" s="123">
        <f t="shared" si="7"/>
        <v>2.4000000000000012</v>
      </c>
      <c r="B32" s="124">
        <f t="shared" si="4"/>
        <v>0.23749999999999985</v>
      </c>
      <c r="C32" s="125">
        <f t="shared" si="5"/>
        <v>1.5</v>
      </c>
      <c r="D32" s="125">
        <f t="shared" si="6"/>
        <v>0.15833333333333324</v>
      </c>
    </row>
    <row r="33" spans="1:12" x14ac:dyDescent="0.2">
      <c r="A33" s="123">
        <f t="shared" si="7"/>
        <v>2.5000000000000013</v>
      </c>
      <c r="B33" s="124">
        <f t="shared" si="4"/>
        <v>0.22799999999999987</v>
      </c>
      <c r="C33" s="125">
        <f t="shared" si="5"/>
        <v>1.5</v>
      </c>
      <c r="D33" s="125">
        <f t="shared" si="6"/>
        <v>0.15199999999999991</v>
      </c>
    </row>
    <row r="34" spans="1:12" x14ac:dyDescent="0.2">
      <c r="A34" s="123">
        <f t="shared" si="7"/>
        <v>2.6000000000000014</v>
      </c>
      <c r="B34" s="124">
        <f t="shared" si="4"/>
        <v>0.21923076923076909</v>
      </c>
      <c r="C34" s="125">
        <f t="shared" si="5"/>
        <v>1.5</v>
      </c>
      <c r="D34" s="125">
        <f t="shared" si="6"/>
        <v>0.14615384615384605</v>
      </c>
    </row>
    <row r="35" spans="1:12" x14ac:dyDescent="0.2">
      <c r="A35" s="123">
        <f t="shared" si="7"/>
        <v>2.7000000000000015</v>
      </c>
      <c r="B35" s="124">
        <f t="shared" si="4"/>
        <v>0.21111111111111097</v>
      </c>
      <c r="C35" s="125">
        <f t="shared" si="5"/>
        <v>1.5</v>
      </c>
      <c r="D35" s="125">
        <f t="shared" si="6"/>
        <v>0.14074074074074064</v>
      </c>
    </row>
    <row r="36" spans="1:12" x14ac:dyDescent="0.2">
      <c r="A36" s="123">
        <f t="shared" si="7"/>
        <v>2.8000000000000016</v>
      </c>
      <c r="B36" s="124">
        <f t="shared" si="4"/>
        <v>0.20357142857142843</v>
      </c>
      <c r="C36" s="125">
        <f t="shared" si="5"/>
        <v>1.5</v>
      </c>
      <c r="D36" s="125">
        <f t="shared" si="6"/>
        <v>0.13571428571428562</v>
      </c>
    </row>
    <row r="37" spans="1:12" x14ac:dyDescent="0.2">
      <c r="A37" s="123">
        <f t="shared" si="7"/>
        <v>2.9000000000000017</v>
      </c>
      <c r="B37" s="124">
        <f t="shared" si="4"/>
        <v>0.1965517241379309</v>
      </c>
      <c r="C37" s="125">
        <f t="shared" si="5"/>
        <v>1.5</v>
      </c>
      <c r="D37" s="125">
        <f t="shared" si="6"/>
        <v>0.13103448275862059</v>
      </c>
    </row>
    <row r="38" spans="1:12" x14ac:dyDescent="0.2">
      <c r="A38" s="123">
        <f t="shared" si="7"/>
        <v>3.0000000000000018</v>
      </c>
      <c r="B38" s="124">
        <f t="shared" si="4"/>
        <v>0.18999999999999986</v>
      </c>
      <c r="C38" s="125">
        <f t="shared" si="5"/>
        <v>1.5</v>
      </c>
      <c r="D38" s="125">
        <f t="shared" si="6"/>
        <v>0.12666666666666657</v>
      </c>
    </row>
    <row r="39" spans="1:12" x14ac:dyDescent="0.2">
      <c r="A39" s="123">
        <f t="shared" si="7"/>
        <v>3.1000000000000019</v>
      </c>
      <c r="B39" s="124">
        <f t="shared" si="4"/>
        <v>0.18387096774193537</v>
      </c>
      <c r="C39" s="125">
        <f t="shared" si="5"/>
        <v>1.5</v>
      </c>
      <c r="D39" s="125">
        <f t="shared" si="6"/>
        <v>0.12258064516129025</v>
      </c>
    </row>
    <row r="40" spans="1:12" x14ac:dyDescent="0.2">
      <c r="A40" s="123">
        <f t="shared" si="7"/>
        <v>3.200000000000002</v>
      </c>
      <c r="B40" s="124">
        <f t="shared" si="4"/>
        <v>0.17812499999999987</v>
      </c>
      <c r="C40" s="125">
        <f t="shared" si="5"/>
        <v>1.5</v>
      </c>
      <c r="D40" s="125">
        <f t="shared" si="6"/>
        <v>0.11874999999999991</v>
      </c>
    </row>
    <row r="41" spans="1:12" x14ac:dyDescent="0.2">
      <c r="A41" s="123">
        <f t="shared" si="7"/>
        <v>3.300000000000002</v>
      </c>
      <c r="B41" s="124">
        <f t="shared" si="4"/>
        <v>0.17272727272727262</v>
      </c>
      <c r="C41" s="125">
        <f t="shared" si="5"/>
        <v>1.5</v>
      </c>
      <c r="D41" s="125">
        <f t="shared" si="6"/>
        <v>0.11515151515151507</v>
      </c>
    </row>
    <row r="42" spans="1:12" x14ac:dyDescent="0.2">
      <c r="A42" s="123">
        <f t="shared" si="7"/>
        <v>3.4000000000000021</v>
      </c>
      <c r="B42" s="124">
        <f t="shared" si="4"/>
        <v>0.16764705882352929</v>
      </c>
      <c r="C42" s="125">
        <f t="shared" si="5"/>
        <v>1.5</v>
      </c>
      <c r="D42" s="125">
        <f t="shared" si="6"/>
        <v>0.11176470588235286</v>
      </c>
    </row>
    <row r="43" spans="1:12" x14ac:dyDescent="0.2">
      <c r="A43" s="123">
        <f t="shared" si="7"/>
        <v>3.5000000000000022</v>
      </c>
      <c r="B43" s="124">
        <f t="shared" si="4"/>
        <v>0.16285714285714273</v>
      </c>
      <c r="C43" s="125">
        <f t="shared" si="5"/>
        <v>1.5</v>
      </c>
      <c r="D43" s="125">
        <f t="shared" si="6"/>
        <v>0.10857142857142849</v>
      </c>
    </row>
    <row r="44" spans="1:12" ht="15" thickBot="1" x14ac:dyDescent="0.25">
      <c r="A44" s="123">
        <f t="shared" si="7"/>
        <v>3.6000000000000023</v>
      </c>
      <c r="B44" s="124">
        <f t="shared" si="4"/>
        <v>0.15833333333333321</v>
      </c>
      <c r="C44" s="125">
        <f t="shared" si="5"/>
        <v>1.5</v>
      </c>
      <c r="D44" s="125">
        <f t="shared" si="6"/>
        <v>0.10555555555555547</v>
      </c>
    </row>
    <row r="45" spans="1:12" ht="16.5" thickBot="1" x14ac:dyDescent="0.35">
      <c r="A45" s="123">
        <f t="shared" si="7"/>
        <v>3.7000000000000024</v>
      </c>
      <c r="B45" s="124">
        <f>IF(T=0,Aa*I*Fa,IF(AND(T&gt;=To,T&lt;=Tc),2.5*Aa*Fa*I,IF(AND(T&gt;Tc,T&lt;=Tl),1.2*Av*Fv*I/T,1.2*Av*Fv*Tl*I/T^2)))</f>
        <v>0.15405405405405395</v>
      </c>
      <c r="C45" s="125">
        <f>IF(T&gt;To,Rsis,(Rsis-1)*T/To+1)</f>
        <v>1.5</v>
      </c>
      <c r="D45" s="125">
        <f t="shared" si="6"/>
        <v>0.10270270270270264</v>
      </c>
      <c r="F45" s="17"/>
      <c r="G45" s="135" t="s">
        <v>212</v>
      </c>
      <c r="H45" s="136" t="s">
        <v>213</v>
      </c>
      <c r="I45" s="137" t="s">
        <v>214</v>
      </c>
      <c r="J45" s="137" t="s">
        <v>215</v>
      </c>
      <c r="K45" s="137" t="s">
        <v>216</v>
      </c>
      <c r="L45" s="137" t="s">
        <v>217</v>
      </c>
    </row>
    <row r="46" spans="1:12" ht="15" thickBot="1" x14ac:dyDescent="0.25">
      <c r="A46" s="123">
        <f t="shared" si="7"/>
        <v>3.8000000000000025</v>
      </c>
      <c r="B46" s="124">
        <f>IF(T=0,Aa*I*Fa,IF(AND(T&gt;=To,T&lt;=Tc),2.5*Aa*Fa*I,IF(AND(T&gt;Tc,T&lt;=Tl),1.2*Av*Fv*I/T,1.2*Av*Fv*Tl*I/T^2)))</f>
        <v>0.14999999999999988</v>
      </c>
      <c r="C46" s="125">
        <f>IF(T&gt;To,Rsis,(Rsis-1)*T/To+1)</f>
        <v>1.5</v>
      </c>
      <c r="D46" s="125">
        <f t="shared" si="6"/>
        <v>9.9999999999999922E-2</v>
      </c>
      <c r="F46" s="17" t="s">
        <v>218</v>
      </c>
      <c r="G46" s="17"/>
      <c r="H46" s="17"/>
      <c r="I46" s="17"/>
      <c r="J46" s="17"/>
      <c r="K46" s="17"/>
      <c r="L46" s="17"/>
    </row>
    <row r="47" spans="1:12" x14ac:dyDescent="0.2">
      <c r="A47" s="123">
        <f t="shared" si="7"/>
        <v>3.9000000000000026</v>
      </c>
      <c r="B47" s="124">
        <f>IF(T=0,Aa*I*Fa,IF(AND(T&gt;=To,T&lt;=Tc),2.5*Aa*Fa*I,IF(AND(T&gt;Tc,T&lt;=Tl),1.2*Av*Fv*I/T,1.2*Av*Fv*Tl*I/T^2)))</f>
        <v>0.14615384615384605</v>
      </c>
      <c r="C47" s="125">
        <f>IF(T&gt;To,Rsis,(Rsis-1)*T/To+1)</f>
        <v>1.5</v>
      </c>
      <c r="D47" s="125">
        <f t="shared" si="6"/>
        <v>9.7435897435897367E-2</v>
      </c>
      <c r="F47" s="138" t="s">
        <v>219</v>
      </c>
      <c r="G47" s="139">
        <f>'[1]CORTANTE BASAL (X)'!$B$13</f>
        <v>0.13952055149611803</v>
      </c>
      <c r="H47" s="140">
        <f>IF(AND($G47&gt;=0,$G47&lt;=Tc),2.5*Aa*Fa*I,IF(AND($G47&gt;Tc,$G47&lt;=Tl),1.2*Av*Fv*I/$G47,1.2*Av*Fv*Tl*I/$G47^2))</f>
        <v>0.81249999999999989</v>
      </c>
      <c r="I47" s="141">
        <f>H47/(2*PI()/$G47)^2*9.81</f>
        <v>3.9301489382038875E-3</v>
      </c>
      <c r="J47" s="141">
        <f>IF(G47&gt;To,Rsis,(Rsis-1)*G47/To+1)</f>
        <v>1.4773071498551407</v>
      </c>
      <c r="K47" s="141">
        <f>H47/J47</f>
        <v>0.54998718450639783</v>
      </c>
      <c r="L47" s="141">
        <f>K47/(2*PI()/$G47)^2*9.81</f>
        <v>2.6603465221090041E-3</v>
      </c>
    </row>
    <row r="48" spans="1:12" ht="15" thickBot="1" x14ac:dyDescent="0.25">
      <c r="A48" s="123">
        <f t="shared" si="7"/>
        <v>4.0000000000000027</v>
      </c>
      <c r="B48" s="124">
        <f t="shared" ref="B48:B65" si="12">IF(T=0,Aa*I*Fa,IF(AND(T&gt;=To,T&lt;=Tc),2.5*Aa*Fa*I,IF(AND(T&gt;Tc,T&lt;=Tl),1.2*Av*Fv*I/T,1.2*Av*Fv*Tl*I/T^2)))</f>
        <v>0.1424999999999999</v>
      </c>
      <c r="C48" s="125">
        <f t="shared" ref="C48:C65" si="13">IF(T&gt;To,Rsis,(Rsis-1)*T/To+1)</f>
        <v>1.5</v>
      </c>
      <c r="D48" s="125">
        <f t="shared" si="6"/>
        <v>9.4999999999999932E-2</v>
      </c>
      <c r="F48" s="142" t="s">
        <v>220</v>
      </c>
      <c r="G48" s="143" t="e">
        <f>'[1]CORTANTE BASAL (X)'!$R$19</f>
        <v>#DIV/0!</v>
      </c>
      <c r="H48" s="144" t="e">
        <f>IF(AND($G48&gt;=0,$G48&lt;To),Aa*I*Fa,IF(AND($G48&gt;=To,$G48&lt;=Tc),2.5*Aa*Fa*I,IF(AND($G48&gt;Tc,$G48&lt;=Tl),1.2*Av*Fv*I/$G48,1.2*Av*Fv*Tl*I/$G48^2)))</f>
        <v>#DIV/0!</v>
      </c>
      <c r="I48" s="145" t="e">
        <f>H48/(2*PI()/$G48)^2*9.81</f>
        <v>#DIV/0!</v>
      </c>
      <c r="J48" s="145" t="e">
        <f>IF(G48&gt;To,Rsis,(Rsis-1)*G48/To+1)</f>
        <v>#DIV/0!</v>
      </c>
      <c r="K48" s="145" t="e">
        <f>H48/J48</f>
        <v>#DIV/0!</v>
      </c>
      <c r="L48" s="145" t="e">
        <f>K48/(2*PI()/$G48)^2*9.81</f>
        <v>#DIV/0!</v>
      </c>
    </row>
    <row r="49" spans="1:12" ht="15" thickBot="1" x14ac:dyDescent="0.25">
      <c r="A49" s="123">
        <f t="shared" si="7"/>
        <v>4.1000000000000023</v>
      </c>
      <c r="B49" s="124">
        <f t="shared" si="12"/>
        <v>0.13902439024390234</v>
      </c>
      <c r="C49" s="125">
        <f t="shared" si="13"/>
        <v>1.5</v>
      </c>
      <c r="D49" s="125">
        <f t="shared" si="6"/>
        <v>9.2682926829268222E-2</v>
      </c>
      <c r="F49" s="17" t="s">
        <v>221</v>
      </c>
      <c r="G49" s="17"/>
      <c r="H49" s="17"/>
      <c r="I49" s="17"/>
      <c r="J49" s="17"/>
      <c r="K49" s="17"/>
      <c r="L49" s="17"/>
    </row>
    <row r="50" spans="1:12" x14ac:dyDescent="0.2">
      <c r="A50" s="123">
        <f t="shared" si="7"/>
        <v>4.200000000000002</v>
      </c>
      <c r="B50" s="124">
        <f t="shared" si="12"/>
        <v>0.13571428571428565</v>
      </c>
      <c r="C50" s="125">
        <f t="shared" si="13"/>
        <v>1.5</v>
      </c>
      <c r="D50" s="125">
        <f t="shared" si="6"/>
        <v>9.0476190476190432E-2</v>
      </c>
      <c r="F50" s="138" t="s">
        <v>222</v>
      </c>
      <c r="G50" s="146"/>
      <c r="H50" s="140">
        <f>IF(AND($G50&gt;=0,$G50&lt;=Tc),2.5*Aa*Fa*I,IF(AND($G50&gt;Tc,$G50&lt;=Tl),1.2*Av*Fv*I/$G50,1.2*Av*Fv*Tl*I/$G50^2))</f>
        <v>0.81249999999999989</v>
      </c>
      <c r="I50" s="141" t="e">
        <f>H50/(2*PI()/$G50)^2*9.81</f>
        <v>#DIV/0!</v>
      </c>
      <c r="J50" s="141">
        <f>IF(G50&gt;To,Rsis,(Rsis-1)*TBOG/Ao+1)</f>
        <v>16.624999999999993</v>
      </c>
      <c r="K50" s="141">
        <f t="shared" ref="K50:K53" si="14">H50/J50</f>
        <v>4.8872180451127831E-2</v>
      </c>
      <c r="L50" s="141" t="e">
        <f>K50/(2*PI()/$G50)^2*9.81</f>
        <v>#DIV/0!</v>
      </c>
    </row>
    <row r="51" spans="1:12" x14ac:dyDescent="0.2">
      <c r="A51" s="123">
        <f t="shared" si="7"/>
        <v>4.3000000000000016</v>
      </c>
      <c r="B51" s="124">
        <f t="shared" si="12"/>
        <v>0.13255813953488366</v>
      </c>
      <c r="C51" s="125">
        <f t="shared" si="13"/>
        <v>1.5</v>
      </c>
      <c r="D51" s="125">
        <f t="shared" si="6"/>
        <v>8.8372093023255771E-2</v>
      </c>
      <c r="F51" s="147" t="s">
        <v>223</v>
      </c>
      <c r="G51" s="148"/>
      <c r="H51" s="149">
        <f>IF(AND($G51&gt;=0,$G51&lt;To),Aa*I*Fa,IF(AND($G51&gt;=To,$G51&lt;=Tc),2.5*Aa*Fa*I,IF(AND($G51&gt;Tc,$G51&lt;=Tl),1.2*Av*Fv*I/$G51,1.2*Av*Fv*Tl*I/$G51^2)))</f>
        <v>0.32499999999999996</v>
      </c>
      <c r="I51" s="150" t="e">
        <f>H51/(2*PI()/$G51)^2*9.81</f>
        <v>#DIV/0!</v>
      </c>
      <c r="J51" s="150" t="e">
        <f>IF(G51&gt;To,Rsis,(Rsis-1)*TBOG/Ao+1)</f>
        <v>#VALUE!</v>
      </c>
      <c r="K51" s="150" t="e">
        <f t="shared" si="14"/>
        <v>#VALUE!</v>
      </c>
      <c r="L51" s="150" t="e">
        <f>K51/(2*PI()/$G51)^2*9.81</f>
        <v>#VALUE!</v>
      </c>
    </row>
    <row r="52" spans="1:12" x14ac:dyDescent="0.2">
      <c r="A52" s="123">
        <f t="shared" si="7"/>
        <v>4.4000000000000012</v>
      </c>
      <c r="B52" s="124">
        <f t="shared" si="12"/>
        <v>0.12954545454545449</v>
      </c>
      <c r="C52" s="125">
        <f t="shared" si="13"/>
        <v>1.5</v>
      </c>
      <c r="D52" s="125">
        <f t="shared" si="6"/>
        <v>8.6363636363636323E-2</v>
      </c>
      <c r="F52" s="147" t="s">
        <v>224</v>
      </c>
      <c r="G52" s="148"/>
      <c r="H52" s="149">
        <f>IF(AND($G52&gt;=0,$G52&lt;To),Aa*I*Fa,IF(AND($G52&gt;=To,$G52&lt;=Tc),2.5*Aa*Fa*I,IF(AND($G52&gt;Tc,$G52&lt;=Tl),1.2*Av*Fv*I/$G52,1.2*Av*Fv*Tl*I/$G52^2)))</f>
        <v>0.32499999999999996</v>
      </c>
      <c r="I52" s="150" t="e">
        <f>H52/(2*PI()/$G52)^2*9.81</f>
        <v>#DIV/0!</v>
      </c>
      <c r="J52" s="150" t="e">
        <f>IF(G52&gt;To,Rsis,(Rsis-1)*TBOG/Ao+1)</f>
        <v>#VALUE!</v>
      </c>
      <c r="K52" s="150" t="e">
        <f t="shared" si="14"/>
        <v>#VALUE!</v>
      </c>
      <c r="L52" s="150" t="e">
        <f>K52/(2*PI()/$G52)^2*9.81</f>
        <v>#VALUE!</v>
      </c>
    </row>
    <row r="53" spans="1:12" ht="15" thickBot="1" x14ac:dyDescent="0.25">
      <c r="A53" s="123">
        <f t="shared" si="7"/>
        <v>4.5000000000000009</v>
      </c>
      <c r="B53" s="124">
        <f t="shared" si="12"/>
        <v>0.12666666666666662</v>
      </c>
      <c r="C53" s="125">
        <f t="shared" si="13"/>
        <v>1.5</v>
      </c>
      <c r="D53" s="125">
        <f t="shared" si="6"/>
        <v>8.4444444444444419E-2</v>
      </c>
      <c r="F53" s="142" t="s">
        <v>225</v>
      </c>
      <c r="G53" s="151"/>
      <c r="H53" s="144">
        <f>IF(AND($G53&gt;=0,$G53&lt;To),Aa*I*Fa,IF(AND($G53&gt;=To,$G53&lt;=Tc),2.5*Aa*Fa*I,IF(AND($G53&gt;Tc,$G53&lt;=Tl),1.2*Av*Fv*I/$G53,1.2*Av*Fv*Tl*I/$G53^2)))</f>
        <v>0.32499999999999996</v>
      </c>
      <c r="I53" s="145" t="e">
        <f>H53/(2*PI()/$G53)^2*9.81</f>
        <v>#DIV/0!</v>
      </c>
      <c r="J53" s="145" t="e">
        <f>IF(G53&gt;To,Rsis,(Rsis-1)*TBOG/Ao+1)</f>
        <v>#VALUE!</v>
      </c>
      <c r="K53" s="145" t="e">
        <f t="shared" si="14"/>
        <v>#VALUE!</v>
      </c>
      <c r="L53" s="145" t="e">
        <f>K53/(2*PI()/$G53)^2*9.81</f>
        <v>#VALUE!</v>
      </c>
    </row>
    <row r="54" spans="1:12" x14ac:dyDescent="0.2">
      <c r="A54" s="123">
        <f t="shared" si="7"/>
        <v>4.6000000000000005</v>
      </c>
      <c r="B54" s="124">
        <f t="shared" si="12"/>
        <v>0.12283553875236292</v>
      </c>
      <c r="C54" s="125">
        <f t="shared" si="13"/>
        <v>1.5</v>
      </c>
      <c r="D54" s="125">
        <f t="shared" si="6"/>
        <v>8.1890359168241944E-2</v>
      </c>
    </row>
    <row r="55" spans="1:12" x14ac:dyDescent="0.2">
      <c r="A55" s="123">
        <f t="shared" si="7"/>
        <v>4.7</v>
      </c>
      <c r="B55" s="124">
        <f t="shared" si="12"/>
        <v>0.1176641014033499</v>
      </c>
      <c r="C55" s="125">
        <f t="shared" si="13"/>
        <v>1.5</v>
      </c>
      <c r="D55" s="125">
        <f t="shared" si="6"/>
        <v>7.844273426889993E-2</v>
      </c>
    </row>
    <row r="56" spans="1:12" x14ac:dyDescent="0.2">
      <c r="A56" s="123">
        <f t="shared" si="7"/>
        <v>4.8</v>
      </c>
      <c r="B56" s="124">
        <f t="shared" si="12"/>
        <v>0.1128125</v>
      </c>
      <c r="C56" s="125">
        <f t="shared" si="13"/>
        <v>1.5</v>
      </c>
      <c r="D56" s="125">
        <f t="shared" si="6"/>
        <v>7.5208333333333335E-2</v>
      </c>
    </row>
    <row r="57" spans="1:12" x14ac:dyDescent="0.2">
      <c r="A57" s="123">
        <f t="shared" si="7"/>
        <v>4.8999999999999995</v>
      </c>
      <c r="B57" s="124">
        <f t="shared" si="12"/>
        <v>0.1082548937942524</v>
      </c>
      <c r="C57" s="125">
        <f t="shared" si="13"/>
        <v>1.5</v>
      </c>
      <c r="D57" s="125">
        <f t="shared" si="6"/>
        <v>7.216992919616827E-2</v>
      </c>
    </row>
    <row r="58" spans="1:12" x14ac:dyDescent="0.2">
      <c r="A58" s="123">
        <f t="shared" si="7"/>
        <v>4.9999999999999991</v>
      </c>
      <c r="B58" s="124">
        <f t="shared" si="12"/>
        <v>0.10396800000000002</v>
      </c>
      <c r="C58" s="125">
        <f t="shared" si="13"/>
        <v>1.5</v>
      </c>
      <c r="D58" s="125">
        <f t="shared" si="6"/>
        <v>6.9312000000000012E-2</v>
      </c>
    </row>
    <row r="59" spans="1:12" x14ac:dyDescent="0.2">
      <c r="A59" s="123">
        <f t="shared" si="7"/>
        <v>5.0999999999999988</v>
      </c>
      <c r="B59" s="124">
        <f t="shared" si="12"/>
        <v>9.99307958477509E-2</v>
      </c>
      <c r="C59" s="125">
        <f t="shared" si="13"/>
        <v>1.5</v>
      </c>
      <c r="D59" s="125">
        <f t="shared" si="6"/>
        <v>6.6620530565167271E-2</v>
      </c>
    </row>
    <row r="60" spans="1:12" x14ac:dyDescent="0.2">
      <c r="A60" s="123">
        <f t="shared" si="7"/>
        <v>5.1999999999999984</v>
      </c>
      <c r="B60" s="124">
        <f t="shared" si="12"/>
        <v>9.6124260355029634E-2</v>
      </c>
      <c r="C60" s="125">
        <f t="shared" si="13"/>
        <v>1.5</v>
      </c>
      <c r="D60" s="125">
        <f t="shared" si="6"/>
        <v>6.4082840236686422E-2</v>
      </c>
    </row>
    <row r="61" spans="1:12" x14ac:dyDescent="0.2">
      <c r="A61" s="123">
        <f t="shared" si="7"/>
        <v>5.299999999999998</v>
      </c>
      <c r="B61" s="124">
        <f t="shared" si="12"/>
        <v>9.2531149875400565E-2</v>
      </c>
      <c r="C61" s="125">
        <f t="shared" si="13"/>
        <v>1.5</v>
      </c>
      <c r="D61" s="125">
        <f t="shared" si="6"/>
        <v>6.1687433250267043E-2</v>
      </c>
    </row>
    <row r="62" spans="1:12" x14ac:dyDescent="0.2">
      <c r="A62" s="123">
        <f t="shared" si="7"/>
        <v>5.3999999999999977</v>
      </c>
      <c r="B62" s="124">
        <f t="shared" si="12"/>
        <v>8.9135802469135869E-2</v>
      </c>
      <c r="C62" s="125">
        <f t="shared" si="13"/>
        <v>1.5</v>
      </c>
      <c r="D62" s="125">
        <f t="shared" si="6"/>
        <v>5.9423868312757248E-2</v>
      </c>
    </row>
    <row r="63" spans="1:12" x14ac:dyDescent="0.2">
      <c r="A63" s="123">
        <f t="shared" si="7"/>
        <v>5.4999999999999973</v>
      </c>
      <c r="B63" s="124">
        <f t="shared" si="12"/>
        <v>8.5923966942148836E-2</v>
      </c>
      <c r="C63" s="125">
        <f t="shared" si="13"/>
        <v>1.5</v>
      </c>
      <c r="D63" s="125">
        <f t="shared" si="6"/>
        <v>5.7282644628099226E-2</v>
      </c>
    </row>
    <row r="64" spans="1:12" x14ac:dyDescent="0.2">
      <c r="A64" s="123">
        <f t="shared" si="7"/>
        <v>5.599999999999997</v>
      </c>
      <c r="B64" s="124">
        <f t="shared" si="12"/>
        <v>8.2882653061224568E-2</v>
      </c>
      <c r="C64" s="125">
        <f t="shared" si="13"/>
        <v>1.5</v>
      </c>
      <c r="D64" s="125">
        <f t="shared" si="6"/>
        <v>5.5255102040816378E-2</v>
      </c>
    </row>
    <row r="65" spans="1:4" x14ac:dyDescent="0.2">
      <c r="A65" s="123">
        <f t="shared" si="7"/>
        <v>5.6999999999999966</v>
      </c>
      <c r="B65" s="124">
        <f t="shared" si="12"/>
        <v>8.0000000000000085E-2</v>
      </c>
      <c r="C65" s="125">
        <f t="shared" si="13"/>
        <v>1.5</v>
      </c>
      <c r="D65" s="125">
        <f t="shared" si="6"/>
        <v>5.3333333333333392E-2</v>
      </c>
    </row>
  </sheetData>
  <mergeCells count="7">
    <mergeCell ref="D1:L1"/>
    <mergeCell ref="N7:S7"/>
    <mergeCell ref="N8:N9"/>
    <mergeCell ref="O8:S8"/>
    <mergeCell ref="N17:S17"/>
    <mergeCell ref="N18:N19"/>
    <mergeCell ref="O18:S18"/>
  </mergeCells>
  <dataValidations count="2">
    <dataValidation type="list" allowBlank="1" showInputMessage="1" showErrorMessage="1" sqref="D4" xr:uid="{BB11238B-C5AE-4455-8757-D1B23FAE8267}">
      <formula1>$N$2:$N$5</formula1>
    </dataValidation>
    <dataValidation type="list" allowBlank="1" showInputMessage="1" showErrorMessage="1" sqref="D3" xr:uid="{95E312C9-AC78-4277-BEAC-4B0492526518}">
      <formula1>$N$10:$N$15</formula1>
    </dataValidation>
  </dataValidations>
  <pageMargins left="0.7" right="0.7" top="0.75" bottom="0.75" header="0.3" footer="0.3"/>
  <pageSetup paperSize="9" scale="91" orientation="portrait" horizontalDpi="200" verticalDpi="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BFC8-8873-4A6A-8B8E-2C6385054E45}">
  <sheetPr>
    <tabColor rgb="FFFFFF00"/>
  </sheetPr>
  <dimension ref="A1:Q49"/>
  <sheetViews>
    <sheetView showGridLines="0" view="pageBreakPreview" zoomScale="85" zoomScaleNormal="100" zoomScaleSheetLayoutView="85" workbookViewId="0"/>
  </sheetViews>
  <sheetFormatPr baseColWidth="10" defaultRowHeight="14.25" x14ac:dyDescent="0.2"/>
  <cols>
    <col min="1" max="1" width="7.42578125" style="64" bestFit="1" customWidth="1"/>
    <col min="2" max="2" width="7.85546875" style="64" customWidth="1"/>
    <col min="3" max="3" width="5.85546875" style="64" customWidth="1"/>
    <col min="4" max="4" width="7.7109375" style="64" customWidth="1"/>
    <col min="5" max="5" width="8.140625" style="64" customWidth="1"/>
    <col min="6" max="9" width="11.42578125" style="64"/>
    <col min="10" max="16" width="11.42578125" style="17"/>
    <col min="17" max="17" width="2" style="17" bestFit="1" customWidth="1"/>
    <col min="18" max="256" width="11.42578125" style="17"/>
    <col min="257" max="257" width="7.42578125" style="17" bestFit="1" customWidth="1"/>
    <col min="258" max="258" width="7.85546875" style="17" customWidth="1"/>
    <col min="259" max="259" width="5.85546875" style="17" customWidth="1"/>
    <col min="260" max="260" width="4.7109375" style="17" bestFit="1" customWidth="1"/>
    <col min="261" max="261" width="8.140625" style="17" customWidth="1"/>
    <col min="262" max="272" width="11.42578125" style="17"/>
    <col min="273" max="273" width="2" style="17" bestFit="1" customWidth="1"/>
    <col min="274" max="512" width="11.42578125" style="17"/>
    <col min="513" max="513" width="7.42578125" style="17" bestFit="1" customWidth="1"/>
    <col min="514" max="514" width="7.85546875" style="17" customWidth="1"/>
    <col min="515" max="515" width="5.85546875" style="17" customWidth="1"/>
    <col min="516" max="516" width="4.7109375" style="17" bestFit="1" customWidth="1"/>
    <col min="517" max="517" width="8.140625" style="17" customWidth="1"/>
    <col min="518" max="528" width="11.42578125" style="17"/>
    <col min="529" max="529" width="2" style="17" bestFit="1" customWidth="1"/>
    <col min="530" max="768" width="11.42578125" style="17"/>
    <col min="769" max="769" width="7.42578125" style="17" bestFit="1" customWidth="1"/>
    <col min="770" max="770" width="7.85546875" style="17" customWidth="1"/>
    <col min="771" max="771" width="5.85546875" style="17" customWidth="1"/>
    <col min="772" max="772" width="4.7109375" style="17" bestFit="1" customWidth="1"/>
    <col min="773" max="773" width="8.140625" style="17" customWidth="1"/>
    <col min="774" max="784" width="11.42578125" style="17"/>
    <col min="785" max="785" width="2" style="17" bestFit="1" customWidth="1"/>
    <col min="786" max="1024" width="11.42578125" style="17"/>
    <col min="1025" max="1025" width="7.42578125" style="17" bestFit="1" customWidth="1"/>
    <col min="1026" max="1026" width="7.85546875" style="17" customWidth="1"/>
    <col min="1027" max="1027" width="5.85546875" style="17" customWidth="1"/>
    <col min="1028" max="1028" width="4.7109375" style="17" bestFit="1" customWidth="1"/>
    <col min="1029" max="1029" width="8.140625" style="17" customWidth="1"/>
    <col min="1030" max="1040" width="11.42578125" style="17"/>
    <col min="1041" max="1041" width="2" style="17" bestFit="1" customWidth="1"/>
    <col min="1042" max="1280" width="11.42578125" style="17"/>
    <col min="1281" max="1281" width="7.42578125" style="17" bestFit="1" customWidth="1"/>
    <col min="1282" max="1282" width="7.85546875" style="17" customWidth="1"/>
    <col min="1283" max="1283" width="5.85546875" style="17" customWidth="1"/>
    <col min="1284" max="1284" width="4.7109375" style="17" bestFit="1" customWidth="1"/>
    <col min="1285" max="1285" width="8.140625" style="17" customWidth="1"/>
    <col min="1286" max="1296" width="11.42578125" style="17"/>
    <col min="1297" max="1297" width="2" style="17" bestFit="1" customWidth="1"/>
    <col min="1298" max="1536" width="11.42578125" style="17"/>
    <col min="1537" max="1537" width="7.42578125" style="17" bestFit="1" customWidth="1"/>
    <col min="1538" max="1538" width="7.85546875" style="17" customWidth="1"/>
    <col min="1539" max="1539" width="5.85546875" style="17" customWidth="1"/>
    <col min="1540" max="1540" width="4.7109375" style="17" bestFit="1" customWidth="1"/>
    <col min="1541" max="1541" width="8.140625" style="17" customWidth="1"/>
    <col min="1542" max="1552" width="11.42578125" style="17"/>
    <col min="1553" max="1553" width="2" style="17" bestFit="1" customWidth="1"/>
    <col min="1554" max="1792" width="11.42578125" style="17"/>
    <col min="1793" max="1793" width="7.42578125" style="17" bestFit="1" customWidth="1"/>
    <col min="1794" max="1794" width="7.85546875" style="17" customWidth="1"/>
    <col min="1795" max="1795" width="5.85546875" style="17" customWidth="1"/>
    <col min="1796" max="1796" width="4.7109375" style="17" bestFit="1" customWidth="1"/>
    <col min="1797" max="1797" width="8.140625" style="17" customWidth="1"/>
    <col min="1798" max="1808" width="11.42578125" style="17"/>
    <col min="1809" max="1809" width="2" style="17" bestFit="1" customWidth="1"/>
    <col min="1810" max="2048" width="11.42578125" style="17"/>
    <col min="2049" max="2049" width="7.42578125" style="17" bestFit="1" customWidth="1"/>
    <col min="2050" max="2050" width="7.85546875" style="17" customWidth="1"/>
    <col min="2051" max="2051" width="5.85546875" style="17" customWidth="1"/>
    <col min="2052" max="2052" width="4.7109375" style="17" bestFit="1" customWidth="1"/>
    <col min="2053" max="2053" width="8.140625" style="17" customWidth="1"/>
    <col min="2054" max="2064" width="11.42578125" style="17"/>
    <col min="2065" max="2065" width="2" style="17" bestFit="1" customWidth="1"/>
    <col min="2066" max="2304" width="11.42578125" style="17"/>
    <col min="2305" max="2305" width="7.42578125" style="17" bestFit="1" customWidth="1"/>
    <col min="2306" max="2306" width="7.85546875" style="17" customWidth="1"/>
    <col min="2307" max="2307" width="5.85546875" style="17" customWidth="1"/>
    <col min="2308" max="2308" width="4.7109375" style="17" bestFit="1" customWidth="1"/>
    <col min="2309" max="2309" width="8.140625" style="17" customWidth="1"/>
    <col min="2310" max="2320" width="11.42578125" style="17"/>
    <col min="2321" max="2321" width="2" style="17" bestFit="1" customWidth="1"/>
    <col min="2322" max="2560" width="11.42578125" style="17"/>
    <col min="2561" max="2561" width="7.42578125" style="17" bestFit="1" customWidth="1"/>
    <col min="2562" max="2562" width="7.85546875" style="17" customWidth="1"/>
    <col min="2563" max="2563" width="5.85546875" style="17" customWidth="1"/>
    <col min="2564" max="2564" width="4.7109375" style="17" bestFit="1" customWidth="1"/>
    <col min="2565" max="2565" width="8.140625" style="17" customWidth="1"/>
    <col min="2566" max="2576" width="11.42578125" style="17"/>
    <col min="2577" max="2577" width="2" style="17" bestFit="1" customWidth="1"/>
    <col min="2578" max="2816" width="11.42578125" style="17"/>
    <col min="2817" max="2817" width="7.42578125" style="17" bestFit="1" customWidth="1"/>
    <col min="2818" max="2818" width="7.85546875" style="17" customWidth="1"/>
    <col min="2819" max="2819" width="5.85546875" style="17" customWidth="1"/>
    <col min="2820" max="2820" width="4.7109375" style="17" bestFit="1" customWidth="1"/>
    <col min="2821" max="2821" width="8.140625" style="17" customWidth="1"/>
    <col min="2822" max="2832" width="11.42578125" style="17"/>
    <col min="2833" max="2833" width="2" style="17" bestFit="1" customWidth="1"/>
    <col min="2834" max="3072" width="11.42578125" style="17"/>
    <col min="3073" max="3073" width="7.42578125" style="17" bestFit="1" customWidth="1"/>
    <col min="3074" max="3074" width="7.85546875" style="17" customWidth="1"/>
    <col min="3075" max="3075" width="5.85546875" style="17" customWidth="1"/>
    <col min="3076" max="3076" width="4.7109375" style="17" bestFit="1" customWidth="1"/>
    <col min="3077" max="3077" width="8.140625" style="17" customWidth="1"/>
    <col min="3078" max="3088" width="11.42578125" style="17"/>
    <col min="3089" max="3089" width="2" style="17" bestFit="1" customWidth="1"/>
    <col min="3090" max="3328" width="11.42578125" style="17"/>
    <col min="3329" max="3329" width="7.42578125" style="17" bestFit="1" customWidth="1"/>
    <col min="3330" max="3330" width="7.85546875" style="17" customWidth="1"/>
    <col min="3331" max="3331" width="5.85546875" style="17" customWidth="1"/>
    <col min="3332" max="3332" width="4.7109375" style="17" bestFit="1" customWidth="1"/>
    <col min="3333" max="3333" width="8.140625" style="17" customWidth="1"/>
    <col min="3334" max="3344" width="11.42578125" style="17"/>
    <col min="3345" max="3345" width="2" style="17" bestFit="1" customWidth="1"/>
    <col min="3346" max="3584" width="11.42578125" style="17"/>
    <col min="3585" max="3585" width="7.42578125" style="17" bestFit="1" customWidth="1"/>
    <col min="3586" max="3586" width="7.85546875" style="17" customWidth="1"/>
    <col min="3587" max="3587" width="5.85546875" style="17" customWidth="1"/>
    <col min="3588" max="3588" width="4.7109375" style="17" bestFit="1" customWidth="1"/>
    <col min="3589" max="3589" width="8.140625" style="17" customWidth="1"/>
    <col min="3590" max="3600" width="11.42578125" style="17"/>
    <col min="3601" max="3601" width="2" style="17" bestFit="1" customWidth="1"/>
    <col min="3602" max="3840" width="11.42578125" style="17"/>
    <col min="3841" max="3841" width="7.42578125" style="17" bestFit="1" customWidth="1"/>
    <col min="3842" max="3842" width="7.85546875" style="17" customWidth="1"/>
    <col min="3843" max="3843" width="5.85546875" style="17" customWidth="1"/>
    <col min="3844" max="3844" width="4.7109375" style="17" bestFit="1" customWidth="1"/>
    <col min="3845" max="3845" width="8.140625" style="17" customWidth="1"/>
    <col min="3846" max="3856" width="11.42578125" style="17"/>
    <col min="3857" max="3857" width="2" style="17" bestFit="1" customWidth="1"/>
    <col min="3858" max="4096" width="11.42578125" style="17"/>
    <col min="4097" max="4097" width="7.42578125" style="17" bestFit="1" customWidth="1"/>
    <col min="4098" max="4098" width="7.85546875" style="17" customWidth="1"/>
    <col min="4099" max="4099" width="5.85546875" style="17" customWidth="1"/>
    <col min="4100" max="4100" width="4.7109375" style="17" bestFit="1" customWidth="1"/>
    <col min="4101" max="4101" width="8.140625" style="17" customWidth="1"/>
    <col min="4102" max="4112" width="11.42578125" style="17"/>
    <col min="4113" max="4113" width="2" style="17" bestFit="1" customWidth="1"/>
    <col min="4114" max="4352" width="11.42578125" style="17"/>
    <col min="4353" max="4353" width="7.42578125" style="17" bestFit="1" customWidth="1"/>
    <col min="4354" max="4354" width="7.85546875" style="17" customWidth="1"/>
    <col min="4355" max="4355" width="5.85546875" style="17" customWidth="1"/>
    <col min="4356" max="4356" width="4.7109375" style="17" bestFit="1" customWidth="1"/>
    <col min="4357" max="4357" width="8.140625" style="17" customWidth="1"/>
    <col min="4358" max="4368" width="11.42578125" style="17"/>
    <col min="4369" max="4369" width="2" style="17" bestFit="1" customWidth="1"/>
    <col min="4370" max="4608" width="11.42578125" style="17"/>
    <col min="4609" max="4609" width="7.42578125" style="17" bestFit="1" customWidth="1"/>
    <col min="4610" max="4610" width="7.85546875" style="17" customWidth="1"/>
    <col min="4611" max="4611" width="5.85546875" style="17" customWidth="1"/>
    <col min="4612" max="4612" width="4.7109375" style="17" bestFit="1" customWidth="1"/>
    <col min="4613" max="4613" width="8.140625" style="17" customWidth="1"/>
    <col min="4614" max="4624" width="11.42578125" style="17"/>
    <col min="4625" max="4625" width="2" style="17" bestFit="1" customWidth="1"/>
    <col min="4626" max="4864" width="11.42578125" style="17"/>
    <col min="4865" max="4865" width="7.42578125" style="17" bestFit="1" customWidth="1"/>
    <col min="4866" max="4866" width="7.85546875" style="17" customWidth="1"/>
    <col min="4867" max="4867" width="5.85546875" style="17" customWidth="1"/>
    <col min="4868" max="4868" width="4.7109375" style="17" bestFit="1" customWidth="1"/>
    <col min="4869" max="4869" width="8.140625" style="17" customWidth="1"/>
    <col min="4870" max="4880" width="11.42578125" style="17"/>
    <col min="4881" max="4881" width="2" style="17" bestFit="1" customWidth="1"/>
    <col min="4882" max="5120" width="11.42578125" style="17"/>
    <col min="5121" max="5121" width="7.42578125" style="17" bestFit="1" customWidth="1"/>
    <col min="5122" max="5122" width="7.85546875" style="17" customWidth="1"/>
    <col min="5123" max="5123" width="5.85546875" style="17" customWidth="1"/>
    <col min="5124" max="5124" width="4.7109375" style="17" bestFit="1" customWidth="1"/>
    <col min="5125" max="5125" width="8.140625" style="17" customWidth="1"/>
    <col min="5126" max="5136" width="11.42578125" style="17"/>
    <col min="5137" max="5137" width="2" style="17" bestFit="1" customWidth="1"/>
    <col min="5138" max="5376" width="11.42578125" style="17"/>
    <col min="5377" max="5377" width="7.42578125" style="17" bestFit="1" customWidth="1"/>
    <col min="5378" max="5378" width="7.85546875" style="17" customWidth="1"/>
    <col min="5379" max="5379" width="5.85546875" style="17" customWidth="1"/>
    <col min="5380" max="5380" width="4.7109375" style="17" bestFit="1" customWidth="1"/>
    <col min="5381" max="5381" width="8.140625" style="17" customWidth="1"/>
    <col min="5382" max="5392" width="11.42578125" style="17"/>
    <col min="5393" max="5393" width="2" style="17" bestFit="1" customWidth="1"/>
    <col min="5394" max="5632" width="11.42578125" style="17"/>
    <col min="5633" max="5633" width="7.42578125" style="17" bestFit="1" customWidth="1"/>
    <col min="5634" max="5634" width="7.85546875" style="17" customWidth="1"/>
    <col min="5635" max="5635" width="5.85546875" style="17" customWidth="1"/>
    <col min="5636" max="5636" width="4.7109375" style="17" bestFit="1" customWidth="1"/>
    <col min="5637" max="5637" width="8.140625" style="17" customWidth="1"/>
    <col min="5638" max="5648" width="11.42578125" style="17"/>
    <col min="5649" max="5649" width="2" style="17" bestFit="1" customWidth="1"/>
    <col min="5650" max="5888" width="11.42578125" style="17"/>
    <col min="5889" max="5889" width="7.42578125" style="17" bestFit="1" customWidth="1"/>
    <col min="5890" max="5890" width="7.85546875" style="17" customWidth="1"/>
    <col min="5891" max="5891" width="5.85546875" style="17" customWidth="1"/>
    <col min="5892" max="5892" width="4.7109375" style="17" bestFit="1" customWidth="1"/>
    <col min="5893" max="5893" width="8.140625" style="17" customWidth="1"/>
    <col min="5894" max="5904" width="11.42578125" style="17"/>
    <col min="5905" max="5905" width="2" style="17" bestFit="1" customWidth="1"/>
    <col min="5906" max="6144" width="11.42578125" style="17"/>
    <col min="6145" max="6145" width="7.42578125" style="17" bestFit="1" customWidth="1"/>
    <col min="6146" max="6146" width="7.85546875" style="17" customWidth="1"/>
    <col min="6147" max="6147" width="5.85546875" style="17" customWidth="1"/>
    <col min="6148" max="6148" width="4.7109375" style="17" bestFit="1" customWidth="1"/>
    <col min="6149" max="6149" width="8.140625" style="17" customWidth="1"/>
    <col min="6150" max="6160" width="11.42578125" style="17"/>
    <col min="6161" max="6161" width="2" style="17" bestFit="1" customWidth="1"/>
    <col min="6162" max="6400" width="11.42578125" style="17"/>
    <col min="6401" max="6401" width="7.42578125" style="17" bestFit="1" customWidth="1"/>
    <col min="6402" max="6402" width="7.85546875" style="17" customWidth="1"/>
    <col min="6403" max="6403" width="5.85546875" style="17" customWidth="1"/>
    <col min="6404" max="6404" width="4.7109375" style="17" bestFit="1" customWidth="1"/>
    <col min="6405" max="6405" width="8.140625" style="17" customWidth="1"/>
    <col min="6406" max="6416" width="11.42578125" style="17"/>
    <col min="6417" max="6417" width="2" style="17" bestFit="1" customWidth="1"/>
    <col min="6418" max="6656" width="11.42578125" style="17"/>
    <col min="6657" max="6657" width="7.42578125" style="17" bestFit="1" customWidth="1"/>
    <col min="6658" max="6658" width="7.85546875" style="17" customWidth="1"/>
    <col min="6659" max="6659" width="5.85546875" style="17" customWidth="1"/>
    <col min="6660" max="6660" width="4.7109375" style="17" bestFit="1" customWidth="1"/>
    <col min="6661" max="6661" width="8.140625" style="17" customWidth="1"/>
    <col min="6662" max="6672" width="11.42578125" style="17"/>
    <col min="6673" max="6673" width="2" style="17" bestFit="1" customWidth="1"/>
    <col min="6674" max="6912" width="11.42578125" style="17"/>
    <col min="6913" max="6913" width="7.42578125" style="17" bestFit="1" customWidth="1"/>
    <col min="6914" max="6914" width="7.85546875" style="17" customWidth="1"/>
    <col min="6915" max="6915" width="5.85546875" style="17" customWidth="1"/>
    <col min="6916" max="6916" width="4.7109375" style="17" bestFit="1" customWidth="1"/>
    <col min="6917" max="6917" width="8.140625" style="17" customWidth="1"/>
    <col min="6918" max="6928" width="11.42578125" style="17"/>
    <col min="6929" max="6929" width="2" style="17" bestFit="1" customWidth="1"/>
    <col min="6930" max="7168" width="11.42578125" style="17"/>
    <col min="7169" max="7169" width="7.42578125" style="17" bestFit="1" customWidth="1"/>
    <col min="7170" max="7170" width="7.85546875" style="17" customWidth="1"/>
    <col min="7171" max="7171" width="5.85546875" style="17" customWidth="1"/>
    <col min="7172" max="7172" width="4.7109375" style="17" bestFit="1" customWidth="1"/>
    <col min="7173" max="7173" width="8.140625" style="17" customWidth="1"/>
    <col min="7174" max="7184" width="11.42578125" style="17"/>
    <col min="7185" max="7185" width="2" style="17" bestFit="1" customWidth="1"/>
    <col min="7186" max="7424" width="11.42578125" style="17"/>
    <col min="7425" max="7425" width="7.42578125" style="17" bestFit="1" customWidth="1"/>
    <col min="7426" max="7426" width="7.85546875" style="17" customWidth="1"/>
    <col min="7427" max="7427" width="5.85546875" style="17" customWidth="1"/>
    <col min="7428" max="7428" width="4.7109375" style="17" bestFit="1" customWidth="1"/>
    <col min="7429" max="7429" width="8.140625" style="17" customWidth="1"/>
    <col min="7430" max="7440" width="11.42578125" style="17"/>
    <col min="7441" max="7441" width="2" style="17" bestFit="1" customWidth="1"/>
    <col min="7442" max="7680" width="11.42578125" style="17"/>
    <col min="7681" max="7681" width="7.42578125" style="17" bestFit="1" customWidth="1"/>
    <col min="7682" max="7682" width="7.85546875" style="17" customWidth="1"/>
    <col min="7683" max="7683" width="5.85546875" style="17" customWidth="1"/>
    <col min="7684" max="7684" width="4.7109375" style="17" bestFit="1" customWidth="1"/>
    <col min="7685" max="7685" width="8.140625" style="17" customWidth="1"/>
    <col min="7686" max="7696" width="11.42578125" style="17"/>
    <col min="7697" max="7697" width="2" style="17" bestFit="1" customWidth="1"/>
    <col min="7698" max="7936" width="11.42578125" style="17"/>
    <col min="7937" max="7937" width="7.42578125" style="17" bestFit="1" customWidth="1"/>
    <col min="7938" max="7938" width="7.85546875" style="17" customWidth="1"/>
    <col min="7939" max="7939" width="5.85546875" style="17" customWidth="1"/>
    <col min="7940" max="7940" width="4.7109375" style="17" bestFit="1" customWidth="1"/>
    <col min="7941" max="7941" width="8.140625" style="17" customWidth="1"/>
    <col min="7942" max="7952" width="11.42578125" style="17"/>
    <col min="7953" max="7953" width="2" style="17" bestFit="1" customWidth="1"/>
    <col min="7954" max="8192" width="11.42578125" style="17"/>
    <col min="8193" max="8193" width="7.42578125" style="17" bestFit="1" customWidth="1"/>
    <col min="8194" max="8194" width="7.85546875" style="17" customWidth="1"/>
    <col min="8195" max="8195" width="5.85546875" style="17" customWidth="1"/>
    <col min="8196" max="8196" width="4.7109375" style="17" bestFit="1" customWidth="1"/>
    <col min="8197" max="8197" width="8.140625" style="17" customWidth="1"/>
    <col min="8198" max="8208" width="11.42578125" style="17"/>
    <col min="8209" max="8209" width="2" style="17" bestFit="1" customWidth="1"/>
    <col min="8210" max="8448" width="11.42578125" style="17"/>
    <col min="8449" max="8449" width="7.42578125" style="17" bestFit="1" customWidth="1"/>
    <col min="8450" max="8450" width="7.85546875" style="17" customWidth="1"/>
    <col min="8451" max="8451" width="5.85546875" style="17" customWidth="1"/>
    <col min="8452" max="8452" width="4.7109375" style="17" bestFit="1" customWidth="1"/>
    <col min="8453" max="8453" width="8.140625" style="17" customWidth="1"/>
    <col min="8454" max="8464" width="11.42578125" style="17"/>
    <col min="8465" max="8465" width="2" style="17" bestFit="1" customWidth="1"/>
    <col min="8466" max="8704" width="11.42578125" style="17"/>
    <col min="8705" max="8705" width="7.42578125" style="17" bestFit="1" customWidth="1"/>
    <col min="8706" max="8706" width="7.85546875" style="17" customWidth="1"/>
    <col min="8707" max="8707" width="5.85546875" style="17" customWidth="1"/>
    <col min="8708" max="8708" width="4.7109375" style="17" bestFit="1" customWidth="1"/>
    <col min="8709" max="8709" width="8.140625" style="17" customWidth="1"/>
    <col min="8710" max="8720" width="11.42578125" style="17"/>
    <col min="8721" max="8721" width="2" style="17" bestFit="1" customWidth="1"/>
    <col min="8722" max="8960" width="11.42578125" style="17"/>
    <col min="8961" max="8961" width="7.42578125" style="17" bestFit="1" customWidth="1"/>
    <col min="8962" max="8962" width="7.85546875" style="17" customWidth="1"/>
    <col min="8963" max="8963" width="5.85546875" style="17" customWidth="1"/>
    <col min="8964" max="8964" width="4.7109375" style="17" bestFit="1" customWidth="1"/>
    <col min="8965" max="8965" width="8.140625" style="17" customWidth="1"/>
    <col min="8966" max="8976" width="11.42578125" style="17"/>
    <col min="8977" max="8977" width="2" style="17" bestFit="1" customWidth="1"/>
    <col min="8978" max="9216" width="11.42578125" style="17"/>
    <col min="9217" max="9217" width="7.42578125" style="17" bestFit="1" customWidth="1"/>
    <col min="9218" max="9218" width="7.85546875" style="17" customWidth="1"/>
    <col min="9219" max="9219" width="5.85546875" style="17" customWidth="1"/>
    <col min="9220" max="9220" width="4.7109375" style="17" bestFit="1" customWidth="1"/>
    <col min="9221" max="9221" width="8.140625" style="17" customWidth="1"/>
    <col min="9222" max="9232" width="11.42578125" style="17"/>
    <col min="9233" max="9233" width="2" style="17" bestFit="1" customWidth="1"/>
    <col min="9234" max="9472" width="11.42578125" style="17"/>
    <col min="9473" max="9473" width="7.42578125" style="17" bestFit="1" customWidth="1"/>
    <col min="9474" max="9474" width="7.85546875" style="17" customWidth="1"/>
    <col min="9475" max="9475" width="5.85546875" style="17" customWidth="1"/>
    <col min="9476" max="9476" width="4.7109375" style="17" bestFit="1" customWidth="1"/>
    <col min="9477" max="9477" width="8.140625" style="17" customWidth="1"/>
    <col min="9478" max="9488" width="11.42578125" style="17"/>
    <col min="9489" max="9489" width="2" style="17" bestFit="1" customWidth="1"/>
    <col min="9490" max="9728" width="11.42578125" style="17"/>
    <col min="9729" max="9729" width="7.42578125" style="17" bestFit="1" customWidth="1"/>
    <col min="9730" max="9730" width="7.85546875" style="17" customWidth="1"/>
    <col min="9731" max="9731" width="5.85546875" style="17" customWidth="1"/>
    <col min="9732" max="9732" width="4.7109375" style="17" bestFit="1" customWidth="1"/>
    <col min="9733" max="9733" width="8.140625" style="17" customWidth="1"/>
    <col min="9734" max="9744" width="11.42578125" style="17"/>
    <col min="9745" max="9745" width="2" style="17" bestFit="1" customWidth="1"/>
    <col min="9746" max="9984" width="11.42578125" style="17"/>
    <col min="9985" max="9985" width="7.42578125" style="17" bestFit="1" customWidth="1"/>
    <col min="9986" max="9986" width="7.85546875" style="17" customWidth="1"/>
    <col min="9987" max="9987" width="5.85546875" style="17" customWidth="1"/>
    <col min="9988" max="9988" width="4.7109375" style="17" bestFit="1" customWidth="1"/>
    <col min="9989" max="9989" width="8.140625" style="17" customWidth="1"/>
    <col min="9990" max="10000" width="11.42578125" style="17"/>
    <col min="10001" max="10001" width="2" style="17" bestFit="1" customWidth="1"/>
    <col min="10002" max="10240" width="11.42578125" style="17"/>
    <col min="10241" max="10241" width="7.42578125" style="17" bestFit="1" customWidth="1"/>
    <col min="10242" max="10242" width="7.85546875" style="17" customWidth="1"/>
    <col min="10243" max="10243" width="5.85546875" style="17" customWidth="1"/>
    <col min="10244" max="10244" width="4.7109375" style="17" bestFit="1" customWidth="1"/>
    <col min="10245" max="10245" width="8.140625" style="17" customWidth="1"/>
    <col min="10246" max="10256" width="11.42578125" style="17"/>
    <col min="10257" max="10257" width="2" style="17" bestFit="1" customWidth="1"/>
    <col min="10258" max="10496" width="11.42578125" style="17"/>
    <col min="10497" max="10497" width="7.42578125" style="17" bestFit="1" customWidth="1"/>
    <col min="10498" max="10498" width="7.85546875" style="17" customWidth="1"/>
    <col min="10499" max="10499" width="5.85546875" style="17" customWidth="1"/>
    <col min="10500" max="10500" width="4.7109375" style="17" bestFit="1" customWidth="1"/>
    <col min="10501" max="10501" width="8.140625" style="17" customWidth="1"/>
    <col min="10502" max="10512" width="11.42578125" style="17"/>
    <col min="10513" max="10513" width="2" style="17" bestFit="1" customWidth="1"/>
    <col min="10514" max="10752" width="11.42578125" style="17"/>
    <col min="10753" max="10753" width="7.42578125" style="17" bestFit="1" customWidth="1"/>
    <col min="10754" max="10754" width="7.85546875" style="17" customWidth="1"/>
    <col min="10755" max="10755" width="5.85546875" style="17" customWidth="1"/>
    <col min="10756" max="10756" width="4.7109375" style="17" bestFit="1" customWidth="1"/>
    <col min="10757" max="10757" width="8.140625" style="17" customWidth="1"/>
    <col min="10758" max="10768" width="11.42578125" style="17"/>
    <col min="10769" max="10769" width="2" style="17" bestFit="1" customWidth="1"/>
    <col min="10770" max="11008" width="11.42578125" style="17"/>
    <col min="11009" max="11009" width="7.42578125" style="17" bestFit="1" customWidth="1"/>
    <col min="11010" max="11010" width="7.85546875" style="17" customWidth="1"/>
    <col min="11011" max="11011" width="5.85546875" style="17" customWidth="1"/>
    <col min="11012" max="11012" width="4.7109375" style="17" bestFit="1" customWidth="1"/>
    <col min="11013" max="11013" width="8.140625" style="17" customWidth="1"/>
    <col min="11014" max="11024" width="11.42578125" style="17"/>
    <col min="11025" max="11025" width="2" style="17" bestFit="1" customWidth="1"/>
    <col min="11026" max="11264" width="11.42578125" style="17"/>
    <col min="11265" max="11265" width="7.42578125" style="17" bestFit="1" customWidth="1"/>
    <col min="11266" max="11266" width="7.85546875" style="17" customWidth="1"/>
    <col min="11267" max="11267" width="5.85546875" style="17" customWidth="1"/>
    <col min="11268" max="11268" width="4.7109375" style="17" bestFit="1" customWidth="1"/>
    <col min="11269" max="11269" width="8.140625" style="17" customWidth="1"/>
    <col min="11270" max="11280" width="11.42578125" style="17"/>
    <col min="11281" max="11281" width="2" style="17" bestFit="1" customWidth="1"/>
    <col min="11282" max="11520" width="11.42578125" style="17"/>
    <col min="11521" max="11521" width="7.42578125" style="17" bestFit="1" customWidth="1"/>
    <col min="11522" max="11522" width="7.85546875" style="17" customWidth="1"/>
    <col min="11523" max="11523" width="5.85546875" style="17" customWidth="1"/>
    <col min="11524" max="11524" width="4.7109375" style="17" bestFit="1" customWidth="1"/>
    <col min="11525" max="11525" width="8.140625" style="17" customWidth="1"/>
    <col min="11526" max="11536" width="11.42578125" style="17"/>
    <col min="11537" max="11537" width="2" style="17" bestFit="1" customWidth="1"/>
    <col min="11538" max="11776" width="11.42578125" style="17"/>
    <col min="11777" max="11777" width="7.42578125" style="17" bestFit="1" customWidth="1"/>
    <col min="11778" max="11778" width="7.85546875" style="17" customWidth="1"/>
    <col min="11779" max="11779" width="5.85546875" style="17" customWidth="1"/>
    <col min="11780" max="11780" width="4.7109375" style="17" bestFit="1" customWidth="1"/>
    <col min="11781" max="11781" width="8.140625" style="17" customWidth="1"/>
    <col min="11782" max="11792" width="11.42578125" style="17"/>
    <col min="11793" max="11793" width="2" style="17" bestFit="1" customWidth="1"/>
    <col min="11794" max="12032" width="11.42578125" style="17"/>
    <col min="12033" max="12033" width="7.42578125" style="17" bestFit="1" customWidth="1"/>
    <col min="12034" max="12034" width="7.85546875" style="17" customWidth="1"/>
    <col min="12035" max="12035" width="5.85546875" style="17" customWidth="1"/>
    <col min="12036" max="12036" width="4.7109375" style="17" bestFit="1" customWidth="1"/>
    <col min="12037" max="12037" width="8.140625" style="17" customWidth="1"/>
    <col min="12038" max="12048" width="11.42578125" style="17"/>
    <col min="12049" max="12049" width="2" style="17" bestFit="1" customWidth="1"/>
    <col min="12050" max="12288" width="11.42578125" style="17"/>
    <col min="12289" max="12289" width="7.42578125" style="17" bestFit="1" customWidth="1"/>
    <col min="12290" max="12290" width="7.85546875" style="17" customWidth="1"/>
    <col min="12291" max="12291" width="5.85546875" style="17" customWidth="1"/>
    <col min="12292" max="12292" width="4.7109375" style="17" bestFit="1" customWidth="1"/>
    <col min="12293" max="12293" width="8.140625" style="17" customWidth="1"/>
    <col min="12294" max="12304" width="11.42578125" style="17"/>
    <col min="12305" max="12305" width="2" style="17" bestFit="1" customWidth="1"/>
    <col min="12306" max="12544" width="11.42578125" style="17"/>
    <col min="12545" max="12545" width="7.42578125" style="17" bestFit="1" customWidth="1"/>
    <col min="12546" max="12546" width="7.85546875" style="17" customWidth="1"/>
    <col min="12547" max="12547" width="5.85546875" style="17" customWidth="1"/>
    <col min="12548" max="12548" width="4.7109375" style="17" bestFit="1" customWidth="1"/>
    <col min="12549" max="12549" width="8.140625" style="17" customWidth="1"/>
    <col min="12550" max="12560" width="11.42578125" style="17"/>
    <col min="12561" max="12561" width="2" style="17" bestFit="1" customWidth="1"/>
    <col min="12562" max="12800" width="11.42578125" style="17"/>
    <col min="12801" max="12801" width="7.42578125" style="17" bestFit="1" customWidth="1"/>
    <col min="12802" max="12802" width="7.85546875" style="17" customWidth="1"/>
    <col min="12803" max="12803" width="5.85546875" style="17" customWidth="1"/>
    <col min="12804" max="12804" width="4.7109375" style="17" bestFit="1" customWidth="1"/>
    <col min="12805" max="12805" width="8.140625" style="17" customWidth="1"/>
    <col min="12806" max="12816" width="11.42578125" style="17"/>
    <col min="12817" max="12817" width="2" style="17" bestFit="1" customWidth="1"/>
    <col min="12818" max="13056" width="11.42578125" style="17"/>
    <col min="13057" max="13057" width="7.42578125" style="17" bestFit="1" customWidth="1"/>
    <col min="13058" max="13058" width="7.85546875" style="17" customWidth="1"/>
    <col min="13059" max="13059" width="5.85546875" style="17" customWidth="1"/>
    <col min="13060" max="13060" width="4.7109375" style="17" bestFit="1" customWidth="1"/>
    <col min="13061" max="13061" width="8.140625" style="17" customWidth="1"/>
    <col min="13062" max="13072" width="11.42578125" style="17"/>
    <col min="13073" max="13073" width="2" style="17" bestFit="1" customWidth="1"/>
    <col min="13074" max="13312" width="11.42578125" style="17"/>
    <col min="13313" max="13313" width="7.42578125" style="17" bestFit="1" customWidth="1"/>
    <col min="13314" max="13314" width="7.85546875" style="17" customWidth="1"/>
    <col min="13315" max="13315" width="5.85546875" style="17" customWidth="1"/>
    <col min="13316" max="13316" width="4.7109375" style="17" bestFit="1" customWidth="1"/>
    <col min="13317" max="13317" width="8.140625" style="17" customWidth="1"/>
    <col min="13318" max="13328" width="11.42578125" style="17"/>
    <col min="13329" max="13329" width="2" style="17" bestFit="1" customWidth="1"/>
    <col min="13330" max="13568" width="11.42578125" style="17"/>
    <col min="13569" max="13569" width="7.42578125" style="17" bestFit="1" customWidth="1"/>
    <col min="13570" max="13570" width="7.85546875" style="17" customWidth="1"/>
    <col min="13571" max="13571" width="5.85546875" style="17" customWidth="1"/>
    <col min="13572" max="13572" width="4.7109375" style="17" bestFit="1" customWidth="1"/>
    <col min="13573" max="13573" width="8.140625" style="17" customWidth="1"/>
    <col min="13574" max="13584" width="11.42578125" style="17"/>
    <col min="13585" max="13585" width="2" style="17" bestFit="1" customWidth="1"/>
    <col min="13586" max="13824" width="11.42578125" style="17"/>
    <col min="13825" max="13825" width="7.42578125" style="17" bestFit="1" customWidth="1"/>
    <col min="13826" max="13826" width="7.85546875" style="17" customWidth="1"/>
    <col min="13827" max="13827" width="5.85546875" style="17" customWidth="1"/>
    <col min="13828" max="13828" width="4.7109375" style="17" bestFit="1" customWidth="1"/>
    <col min="13829" max="13829" width="8.140625" style="17" customWidth="1"/>
    <col min="13830" max="13840" width="11.42578125" style="17"/>
    <col min="13841" max="13841" width="2" style="17" bestFit="1" customWidth="1"/>
    <col min="13842" max="14080" width="11.42578125" style="17"/>
    <col min="14081" max="14081" width="7.42578125" style="17" bestFit="1" customWidth="1"/>
    <col min="14082" max="14082" width="7.85546875" style="17" customWidth="1"/>
    <col min="14083" max="14083" width="5.85546875" style="17" customWidth="1"/>
    <col min="14084" max="14084" width="4.7109375" style="17" bestFit="1" customWidth="1"/>
    <col min="14085" max="14085" width="8.140625" style="17" customWidth="1"/>
    <col min="14086" max="14096" width="11.42578125" style="17"/>
    <col min="14097" max="14097" width="2" style="17" bestFit="1" customWidth="1"/>
    <col min="14098" max="14336" width="11.42578125" style="17"/>
    <col min="14337" max="14337" width="7.42578125" style="17" bestFit="1" customWidth="1"/>
    <col min="14338" max="14338" width="7.85546875" style="17" customWidth="1"/>
    <col min="14339" max="14339" width="5.85546875" style="17" customWidth="1"/>
    <col min="14340" max="14340" width="4.7109375" style="17" bestFit="1" customWidth="1"/>
    <col min="14341" max="14341" width="8.140625" style="17" customWidth="1"/>
    <col min="14342" max="14352" width="11.42578125" style="17"/>
    <col min="14353" max="14353" width="2" style="17" bestFit="1" customWidth="1"/>
    <col min="14354" max="14592" width="11.42578125" style="17"/>
    <col min="14593" max="14593" width="7.42578125" style="17" bestFit="1" customWidth="1"/>
    <col min="14594" max="14594" width="7.85546875" style="17" customWidth="1"/>
    <col min="14595" max="14595" width="5.85546875" style="17" customWidth="1"/>
    <col min="14596" max="14596" width="4.7109375" style="17" bestFit="1" customWidth="1"/>
    <col min="14597" max="14597" width="8.140625" style="17" customWidth="1"/>
    <col min="14598" max="14608" width="11.42578125" style="17"/>
    <col min="14609" max="14609" width="2" style="17" bestFit="1" customWidth="1"/>
    <col min="14610" max="14848" width="11.42578125" style="17"/>
    <col min="14849" max="14849" width="7.42578125" style="17" bestFit="1" customWidth="1"/>
    <col min="14850" max="14850" width="7.85546875" style="17" customWidth="1"/>
    <col min="14851" max="14851" width="5.85546875" style="17" customWidth="1"/>
    <col min="14852" max="14852" width="4.7109375" style="17" bestFit="1" customWidth="1"/>
    <col min="14853" max="14853" width="8.140625" style="17" customWidth="1"/>
    <col min="14854" max="14864" width="11.42578125" style="17"/>
    <col min="14865" max="14865" width="2" style="17" bestFit="1" customWidth="1"/>
    <col min="14866" max="15104" width="11.42578125" style="17"/>
    <col min="15105" max="15105" width="7.42578125" style="17" bestFit="1" customWidth="1"/>
    <col min="15106" max="15106" width="7.85546875" style="17" customWidth="1"/>
    <col min="15107" max="15107" width="5.85546875" style="17" customWidth="1"/>
    <col min="15108" max="15108" width="4.7109375" style="17" bestFit="1" customWidth="1"/>
    <col min="15109" max="15109" width="8.140625" style="17" customWidth="1"/>
    <col min="15110" max="15120" width="11.42578125" style="17"/>
    <col min="15121" max="15121" width="2" style="17" bestFit="1" customWidth="1"/>
    <col min="15122" max="15360" width="11.42578125" style="17"/>
    <col min="15361" max="15361" width="7.42578125" style="17" bestFit="1" customWidth="1"/>
    <col min="15362" max="15362" width="7.85546875" style="17" customWidth="1"/>
    <col min="15363" max="15363" width="5.85546875" style="17" customWidth="1"/>
    <col min="15364" max="15364" width="4.7109375" style="17" bestFit="1" customWidth="1"/>
    <col min="15365" max="15365" width="8.140625" style="17" customWidth="1"/>
    <col min="15366" max="15376" width="11.42578125" style="17"/>
    <col min="15377" max="15377" width="2" style="17" bestFit="1" customWidth="1"/>
    <col min="15378" max="15616" width="11.42578125" style="17"/>
    <col min="15617" max="15617" width="7.42578125" style="17" bestFit="1" customWidth="1"/>
    <col min="15618" max="15618" width="7.85546875" style="17" customWidth="1"/>
    <col min="15619" max="15619" width="5.85546875" style="17" customWidth="1"/>
    <col min="15620" max="15620" width="4.7109375" style="17" bestFit="1" customWidth="1"/>
    <col min="15621" max="15621" width="8.140625" style="17" customWidth="1"/>
    <col min="15622" max="15632" width="11.42578125" style="17"/>
    <col min="15633" max="15633" width="2" style="17" bestFit="1" customWidth="1"/>
    <col min="15634" max="15872" width="11.42578125" style="17"/>
    <col min="15873" max="15873" width="7.42578125" style="17" bestFit="1" customWidth="1"/>
    <col min="15874" max="15874" width="7.85546875" style="17" customWidth="1"/>
    <col min="15875" max="15875" width="5.85546875" style="17" customWidth="1"/>
    <col min="15876" max="15876" width="4.7109375" style="17" bestFit="1" customWidth="1"/>
    <col min="15877" max="15877" width="8.140625" style="17" customWidth="1"/>
    <col min="15878" max="15888" width="11.42578125" style="17"/>
    <col min="15889" max="15889" width="2" style="17" bestFit="1" customWidth="1"/>
    <col min="15890" max="16128" width="11.42578125" style="17"/>
    <col min="16129" max="16129" width="7.42578125" style="17" bestFit="1" customWidth="1"/>
    <col min="16130" max="16130" width="7.85546875" style="17" customWidth="1"/>
    <col min="16131" max="16131" width="5.85546875" style="17" customWidth="1"/>
    <col min="16132" max="16132" width="4.7109375" style="17" bestFit="1" customWidth="1"/>
    <col min="16133" max="16133" width="8.140625" style="17" customWidth="1"/>
    <col min="16134" max="16144" width="11.42578125" style="17"/>
    <col min="16145" max="16145" width="2" style="17" bestFit="1" customWidth="1"/>
    <col min="16146" max="16384" width="11.42578125" style="17"/>
  </cols>
  <sheetData>
    <row r="1" spans="1:17" ht="45.75" customHeight="1" thickBot="1" x14ac:dyDescent="0.3">
      <c r="A1" s="56"/>
      <c r="B1" s="57"/>
      <c r="C1" s="58"/>
      <c r="D1" s="156" t="s">
        <v>233</v>
      </c>
      <c r="E1" s="157"/>
      <c r="F1" s="157"/>
      <c r="G1" s="157"/>
      <c r="H1" s="157"/>
      <c r="I1" s="158"/>
      <c r="K1" s="62" t="s">
        <v>22</v>
      </c>
      <c r="L1" s="63" t="s">
        <v>23</v>
      </c>
    </row>
    <row r="2" spans="1:17" ht="15" thickBot="1" x14ac:dyDescent="0.25">
      <c r="A2" s="159"/>
      <c r="B2" s="69"/>
      <c r="C2" s="69"/>
      <c r="D2" s="69"/>
      <c r="E2" s="69"/>
      <c r="F2" s="160" t="s">
        <v>191</v>
      </c>
      <c r="G2" s="66"/>
      <c r="H2" s="66"/>
      <c r="I2" s="161" t="s">
        <v>234</v>
      </c>
      <c r="K2" s="21" t="s">
        <v>25</v>
      </c>
      <c r="L2" s="22">
        <v>1.5</v>
      </c>
      <c r="M2" s="17" t="s">
        <v>26</v>
      </c>
    </row>
    <row r="3" spans="1:17" x14ac:dyDescent="0.2">
      <c r="A3" s="68" t="s">
        <v>192</v>
      </c>
      <c r="B3" s="69"/>
      <c r="C3" s="69"/>
      <c r="D3" s="70" t="str">
        <f>ESPECTRO_NSR10!$D$3</f>
        <v>D</v>
      </c>
      <c r="I3" s="162"/>
      <c r="K3" s="21" t="s">
        <v>27</v>
      </c>
      <c r="L3" s="22">
        <v>1.25</v>
      </c>
      <c r="M3" s="17" t="s">
        <v>28</v>
      </c>
    </row>
    <row r="4" spans="1:17" ht="15" thickBot="1" x14ac:dyDescent="0.25">
      <c r="A4" s="71" t="s">
        <v>22</v>
      </c>
      <c r="B4" s="72"/>
      <c r="C4" s="72"/>
      <c r="D4" s="73" t="str">
        <f>INICIO!$C$29</f>
        <v>I</v>
      </c>
      <c r="E4" s="64" t="str">
        <f>VLOOKUP($D$4,$K$2:$M$5,3,FALSE)</f>
        <v>Estructuras de ocupación normal</v>
      </c>
      <c r="I4" s="162"/>
      <c r="K4" s="21" t="s">
        <v>31</v>
      </c>
      <c r="L4" s="22">
        <v>1.1000000000000001</v>
      </c>
      <c r="M4" s="17" t="s">
        <v>32</v>
      </c>
    </row>
    <row r="5" spans="1:17" ht="15" thickBot="1" x14ac:dyDescent="0.25">
      <c r="A5" s="163"/>
      <c r="B5" s="164"/>
      <c r="C5" s="165"/>
      <c r="D5" s="165"/>
      <c r="E5" s="165"/>
      <c r="F5" s="165"/>
      <c r="G5" s="165"/>
      <c r="H5" s="165"/>
      <c r="I5" s="166"/>
      <c r="K5" s="24" t="s">
        <v>30</v>
      </c>
      <c r="L5" s="25">
        <v>1</v>
      </c>
      <c r="M5" s="17" t="s">
        <v>33</v>
      </c>
    </row>
    <row r="6" spans="1:17" s="167" customFormat="1" ht="15" thickBot="1" x14ac:dyDescent="0.25">
      <c r="A6" s="54" t="s">
        <v>160</v>
      </c>
      <c r="B6" s="55" t="s">
        <v>179</v>
      </c>
      <c r="C6" s="64"/>
      <c r="D6" s="64"/>
      <c r="E6" s="64"/>
      <c r="F6" s="64"/>
      <c r="G6" s="64"/>
      <c r="H6" s="64"/>
      <c r="I6" s="162"/>
      <c r="K6" s="168"/>
      <c r="L6" s="169"/>
      <c r="M6" s="169"/>
      <c r="N6" s="169"/>
      <c r="O6" s="169"/>
      <c r="P6" s="169"/>
      <c r="Q6" s="170" t="s">
        <v>235</v>
      </c>
    </row>
    <row r="7" spans="1:17" ht="16.5" thickBot="1" x14ac:dyDescent="0.3">
      <c r="A7" s="171"/>
      <c r="I7" s="162"/>
      <c r="K7" s="172" t="s">
        <v>236</v>
      </c>
      <c r="L7" s="172"/>
      <c r="M7" s="172"/>
      <c r="N7" s="172"/>
    </row>
    <row r="8" spans="1:17" ht="15" thickBot="1" x14ac:dyDescent="0.25">
      <c r="A8" s="173" t="s">
        <v>193</v>
      </c>
      <c r="B8" s="76">
        <f>HLOOKUP($B$6,$K$8:$N$14,5,FALSE)</f>
        <v>0.25</v>
      </c>
      <c r="D8" s="173" t="s">
        <v>197</v>
      </c>
      <c r="E8" s="76">
        <f>HLOOKUP($B$6,$K$8:$N$14,2,FALSE)</f>
        <v>0.1</v>
      </c>
      <c r="I8" s="162"/>
      <c r="K8" s="174"/>
      <c r="L8" s="175" t="s">
        <v>179</v>
      </c>
      <c r="M8" s="175" t="s">
        <v>60</v>
      </c>
      <c r="N8" s="175" t="s">
        <v>63</v>
      </c>
    </row>
    <row r="9" spans="1:17" x14ac:dyDescent="0.2">
      <c r="A9" s="176" t="s">
        <v>196</v>
      </c>
      <c r="B9" s="80">
        <f>HLOOKUP($B$6,$K$8:$N$14,6,FALSE)</f>
        <v>1.76</v>
      </c>
      <c r="D9" s="176" t="s">
        <v>201</v>
      </c>
      <c r="E9" s="80">
        <f>HLOOKUP($B$6,$K$8:$N$14,3,FALSE)</f>
        <v>0.8</v>
      </c>
      <c r="I9" s="162"/>
      <c r="K9" s="177" t="s">
        <v>237</v>
      </c>
      <c r="L9" s="178">
        <v>0.1</v>
      </c>
      <c r="M9" s="179">
        <v>0.1</v>
      </c>
      <c r="N9" s="180">
        <v>0.05</v>
      </c>
    </row>
    <row r="10" spans="1:17" ht="15" thickBot="1" x14ac:dyDescent="0.25">
      <c r="A10" s="181" t="s">
        <v>200</v>
      </c>
      <c r="B10" s="107">
        <f>HLOOKUP($B$6,$K$8:$N$14,7,FALSE)</f>
        <v>2.63</v>
      </c>
      <c r="D10" s="181" t="s">
        <v>203</v>
      </c>
      <c r="E10" s="107">
        <f>HLOOKUP($B$6,$K$8:$N$14,4,FALSE)</f>
        <v>2.34</v>
      </c>
      <c r="I10" s="162"/>
      <c r="K10" s="182" t="s">
        <v>238</v>
      </c>
      <c r="L10" s="183">
        <v>0.8</v>
      </c>
      <c r="M10" s="184">
        <v>0.7</v>
      </c>
      <c r="N10" s="185">
        <v>0.4</v>
      </c>
    </row>
    <row r="11" spans="1:17" ht="15" thickBot="1" x14ac:dyDescent="0.25">
      <c r="A11" s="171"/>
      <c r="D11" s="108" t="s">
        <v>202</v>
      </c>
      <c r="E11" s="107">
        <f>VLOOKUP($D$4,$K$2:$L$5,2,FALSE)</f>
        <v>1</v>
      </c>
      <c r="I11" s="162"/>
      <c r="K11" s="182" t="s">
        <v>239</v>
      </c>
      <c r="L11" s="183">
        <v>2.34</v>
      </c>
      <c r="M11" s="184">
        <v>2.0499999999999998</v>
      </c>
      <c r="N11" s="185">
        <v>2</v>
      </c>
    </row>
    <row r="12" spans="1:17" ht="15" thickBot="1" x14ac:dyDescent="0.25">
      <c r="A12" s="171"/>
      <c r="I12" s="162"/>
      <c r="K12" s="182" t="s">
        <v>240</v>
      </c>
      <c r="L12" s="183">
        <v>0.25</v>
      </c>
      <c r="M12" s="184">
        <v>0.25</v>
      </c>
      <c r="N12" s="185">
        <v>0.25</v>
      </c>
    </row>
    <row r="13" spans="1:17" ht="19.5" thickBot="1" x14ac:dyDescent="0.4">
      <c r="A13" s="117" t="s">
        <v>204</v>
      </c>
      <c r="B13" s="118" t="s">
        <v>205</v>
      </c>
      <c r="C13" s="119" t="s">
        <v>206</v>
      </c>
      <c r="D13" s="119" t="s">
        <v>207</v>
      </c>
      <c r="I13" s="162"/>
      <c r="K13" s="182" t="s">
        <v>241</v>
      </c>
      <c r="L13" s="183">
        <v>1.76</v>
      </c>
      <c r="M13" s="184">
        <v>1.6</v>
      </c>
      <c r="N13" s="185">
        <v>1.44</v>
      </c>
    </row>
    <row r="14" spans="1:17" ht="15" thickBot="1" x14ac:dyDescent="0.25">
      <c r="A14" s="120">
        <v>0</v>
      </c>
      <c r="B14" s="186">
        <f t="shared" ref="B14:B49" si="0">IF(A14=0,$B$8*$B$9*$E$11,IF(AND(A14&gt;=$E$8,A14&lt;=$E$9),2.5*$B$8*$B$9*$E$11,IF(AND(A14&gt;$E$9,A14&lt;$E$10),IF(OR($B$6="A",$B$6="B"),1.2*$B$8*$B$10*$E$11/A14^1.5,1.2*$B$8*$B$10*$E$11/A14),$B$8*$B$9*$E$11/2)))</f>
        <v>0.44</v>
      </c>
      <c r="C14" s="122">
        <f t="shared" ref="C14:C49" si="1">IF(A14&gt;$E$8,Rsis,(Rsis-1)*A14/$E$8+1)</f>
        <v>1</v>
      </c>
      <c r="D14" s="122">
        <f>B14/C14</f>
        <v>0.44</v>
      </c>
      <c r="I14" s="162"/>
      <c r="K14" s="187" t="s">
        <v>242</v>
      </c>
      <c r="L14" s="188">
        <v>2.63</v>
      </c>
      <c r="M14" s="189">
        <v>1.95</v>
      </c>
      <c r="N14" s="190">
        <v>1.2</v>
      </c>
    </row>
    <row r="15" spans="1:17" x14ac:dyDescent="0.2">
      <c r="A15" s="123">
        <f>IF(A14=0,$E$8,IF(A14=$E$8,$E$9,IF(A14=$E$9,TRUNC($E$9+0.1,1),A14+0.1)))</f>
        <v>0.1</v>
      </c>
      <c r="B15" s="191">
        <f t="shared" si="0"/>
        <v>1.1000000000000001</v>
      </c>
      <c r="C15" s="125">
        <f t="shared" si="1"/>
        <v>1.5</v>
      </c>
      <c r="D15" s="125">
        <f t="shared" ref="D15:D49" si="2">B15/C15</f>
        <v>0.73333333333333339</v>
      </c>
      <c r="I15" s="162"/>
    </row>
    <row r="16" spans="1:17" ht="15" thickBot="1" x14ac:dyDescent="0.25">
      <c r="A16" s="123">
        <f t="shared" ref="A16:A49" si="3">IF(A15=0,$E$8,IF(A15=$E$8,$E$9,IF(A15=$E$9,TRUNC($E$9+0.1,1),A15+0.1)))</f>
        <v>0.8</v>
      </c>
      <c r="B16" s="191">
        <f t="shared" si="0"/>
        <v>1.1000000000000001</v>
      </c>
      <c r="C16" s="125">
        <f t="shared" si="1"/>
        <v>1.5</v>
      </c>
      <c r="D16" s="125">
        <f t="shared" si="2"/>
        <v>0.73333333333333339</v>
      </c>
      <c r="I16" s="162"/>
      <c r="L16" s="192" t="s">
        <v>160</v>
      </c>
      <c r="M16" s="192"/>
      <c r="N16" s="192"/>
      <c r="O16" s="192"/>
      <c r="P16" s="192"/>
    </row>
    <row r="17" spans="1:16" ht="15" thickBot="1" x14ac:dyDescent="0.25">
      <c r="A17" s="123">
        <f t="shared" si="3"/>
        <v>0.9</v>
      </c>
      <c r="B17" s="191">
        <f t="shared" si="0"/>
        <v>0.92408780513809297</v>
      </c>
      <c r="C17" s="125">
        <f t="shared" si="1"/>
        <v>1.5</v>
      </c>
      <c r="D17" s="125">
        <f t="shared" si="2"/>
        <v>0.61605853675872868</v>
      </c>
      <c r="I17" s="162"/>
      <c r="K17" s="174" t="s">
        <v>243</v>
      </c>
      <c r="L17" s="193">
        <v>1</v>
      </c>
      <c r="M17" s="193">
        <v>2</v>
      </c>
      <c r="N17" s="193">
        <v>3</v>
      </c>
      <c r="O17" s="193">
        <v>4</v>
      </c>
      <c r="P17" s="175">
        <v>5</v>
      </c>
    </row>
    <row r="18" spans="1:16" x14ac:dyDescent="0.2">
      <c r="A18" s="123">
        <f t="shared" si="3"/>
        <v>1</v>
      </c>
      <c r="B18" s="191">
        <f t="shared" si="0"/>
        <v>0.78899999999999992</v>
      </c>
      <c r="C18" s="125">
        <f t="shared" si="1"/>
        <v>1.5</v>
      </c>
      <c r="D18" s="125">
        <f t="shared" si="2"/>
        <v>0.52599999999999991</v>
      </c>
      <c r="I18" s="162"/>
      <c r="K18" s="177" t="s">
        <v>237</v>
      </c>
      <c r="L18" s="194">
        <v>0.05</v>
      </c>
      <c r="M18" s="195">
        <v>0.1</v>
      </c>
      <c r="N18" s="195">
        <v>0.1</v>
      </c>
      <c r="O18" s="195">
        <v>0.15</v>
      </c>
      <c r="P18" s="196">
        <v>0.05</v>
      </c>
    </row>
    <row r="19" spans="1:16" x14ac:dyDescent="0.2">
      <c r="A19" s="123">
        <f t="shared" si="3"/>
        <v>1.1000000000000001</v>
      </c>
      <c r="B19" s="191">
        <f t="shared" si="0"/>
        <v>0.68389271174070188</v>
      </c>
      <c r="C19" s="125">
        <f t="shared" si="1"/>
        <v>1.5</v>
      </c>
      <c r="D19" s="125">
        <f t="shared" si="2"/>
        <v>0.45592847449380125</v>
      </c>
      <c r="I19" s="162"/>
      <c r="K19" s="182" t="s">
        <v>238</v>
      </c>
      <c r="L19" s="197">
        <v>0.5</v>
      </c>
      <c r="M19" s="198">
        <v>0.7</v>
      </c>
      <c r="N19" s="198">
        <v>1.1000000000000001</v>
      </c>
      <c r="O19" s="198">
        <v>0.9</v>
      </c>
      <c r="P19" s="199">
        <v>0.35</v>
      </c>
    </row>
    <row r="20" spans="1:16" x14ac:dyDescent="0.2">
      <c r="A20" s="123">
        <f t="shared" si="3"/>
        <v>1.2000000000000002</v>
      </c>
      <c r="B20" s="191">
        <f t="shared" si="0"/>
        <v>0.60021263593274432</v>
      </c>
      <c r="C20" s="125">
        <f t="shared" si="1"/>
        <v>1.5</v>
      </c>
      <c r="D20" s="125">
        <f t="shared" si="2"/>
        <v>0.40014175728849621</v>
      </c>
      <c r="I20" s="162"/>
      <c r="K20" s="182" t="s">
        <v>239</v>
      </c>
      <c r="L20" s="197">
        <v>2.2000000000000002</v>
      </c>
      <c r="M20" s="198">
        <v>3.1</v>
      </c>
      <c r="N20" s="198">
        <v>5.2</v>
      </c>
      <c r="O20" s="198">
        <v>4.7</v>
      </c>
      <c r="P20" s="199">
        <v>1.85</v>
      </c>
    </row>
    <row r="21" spans="1:16" x14ac:dyDescent="0.2">
      <c r="A21" s="123">
        <f t="shared" si="3"/>
        <v>1.3000000000000003</v>
      </c>
      <c r="B21" s="191">
        <f t="shared" si="0"/>
        <v>0.53230675171788133</v>
      </c>
      <c r="C21" s="125">
        <f t="shared" si="1"/>
        <v>1.5</v>
      </c>
      <c r="D21" s="125">
        <f t="shared" si="2"/>
        <v>0.35487116781192091</v>
      </c>
      <c r="I21" s="162"/>
      <c r="K21" s="182" t="s">
        <v>244</v>
      </c>
      <c r="L21" s="197">
        <v>1.3</v>
      </c>
      <c r="M21" s="198">
        <v>1.2</v>
      </c>
      <c r="N21" s="198">
        <v>1.3</v>
      </c>
      <c r="O21" s="198">
        <v>0.9</v>
      </c>
      <c r="P21" s="199">
        <v>1.3</v>
      </c>
    </row>
    <row r="22" spans="1:16" x14ac:dyDescent="0.2">
      <c r="A22" s="123">
        <f t="shared" si="3"/>
        <v>1.4000000000000004</v>
      </c>
      <c r="B22" s="191">
        <f t="shared" si="0"/>
        <v>0.47630479070057091</v>
      </c>
      <c r="C22" s="125">
        <f t="shared" si="1"/>
        <v>1.5</v>
      </c>
      <c r="D22" s="125">
        <f t="shared" si="2"/>
        <v>0.31753652713371394</v>
      </c>
      <c r="I22" s="162"/>
      <c r="K22" s="182" t="s">
        <v>245</v>
      </c>
      <c r="L22" s="197">
        <v>0.6</v>
      </c>
      <c r="M22" s="198">
        <v>0.55000000000000004</v>
      </c>
      <c r="N22" s="198">
        <v>0.55000000000000004</v>
      </c>
      <c r="O22" s="198">
        <v>0.35</v>
      </c>
      <c r="P22" s="199">
        <v>0.5</v>
      </c>
    </row>
    <row r="23" spans="1:16" x14ac:dyDescent="0.2">
      <c r="A23" s="123">
        <f t="shared" si="3"/>
        <v>1.5000000000000004</v>
      </c>
      <c r="B23" s="191">
        <f t="shared" si="0"/>
        <v>0.42947720156798369</v>
      </c>
      <c r="C23" s="125">
        <f t="shared" si="1"/>
        <v>1.5</v>
      </c>
      <c r="D23" s="125">
        <f t="shared" si="2"/>
        <v>0.28631813437865578</v>
      </c>
      <c r="I23" s="162"/>
      <c r="K23" s="182" t="s">
        <v>246</v>
      </c>
      <c r="L23" s="197">
        <v>0.43</v>
      </c>
      <c r="M23" s="198">
        <v>0.56000000000000005</v>
      </c>
      <c r="N23" s="198">
        <v>0.71499999999999997</v>
      </c>
      <c r="O23" s="198">
        <v>0.31</v>
      </c>
      <c r="P23" s="199">
        <v>0.35</v>
      </c>
    </row>
    <row r="24" spans="1:16" ht="15" thickBot="1" x14ac:dyDescent="0.25">
      <c r="A24" s="123">
        <f t="shared" si="3"/>
        <v>1.6000000000000005</v>
      </c>
      <c r="B24" s="191">
        <f t="shared" si="0"/>
        <v>0.38984954279263273</v>
      </c>
      <c r="C24" s="125">
        <f t="shared" si="1"/>
        <v>1.5</v>
      </c>
      <c r="D24" s="125">
        <f t="shared" si="2"/>
        <v>0.25989969519508849</v>
      </c>
      <c r="I24" s="162"/>
      <c r="K24" s="187" t="s">
        <v>242</v>
      </c>
      <c r="L24" s="200">
        <v>1.5</v>
      </c>
      <c r="M24" s="201">
        <v>1.5</v>
      </c>
      <c r="N24" s="201">
        <v>2</v>
      </c>
      <c r="O24" s="201">
        <v>2.6</v>
      </c>
      <c r="P24" s="202">
        <v>1.3</v>
      </c>
    </row>
    <row r="25" spans="1:16" ht="15" thickBot="1" x14ac:dyDescent="0.25">
      <c r="A25" s="123">
        <f t="shared" si="3"/>
        <v>1.7000000000000006</v>
      </c>
      <c r="B25" s="191">
        <f t="shared" si="0"/>
        <v>0.35596198600033818</v>
      </c>
      <c r="C25" s="125">
        <f t="shared" si="1"/>
        <v>1.5</v>
      </c>
      <c r="D25" s="125">
        <f t="shared" si="2"/>
        <v>0.23730799066689212</v>
      </c>
      <c r="I25" s="162"/>
    </row>
    <row r="26" spans="1:16" ht="15" thickBot="1" x14ac:dyDescent="0.25">
      <c r="A26" s="123">
        <f t="shared" si="3"/>
        <v>1.8000000000000007</v>
      </c>
      <c r="B26" s="191">
        <f t="shared" si="0"/>
        <v>0.32671437671246906</v>
      </c>
      <c r="C26" s="125">
        <f t="shared" si="1"/>
        <v>1.5</v>
      </c>
      <c r="D26" s="125">
        <f t="shared" si="2"/>
        <v>0.21780958447497936</v>
      </c>
      <c r="I26" s="162"/>
      <c r="K26" s="131" t="str">
        <f>"Espec. Armenia, Suelo "&amp;$D$3&amp;", Zona "&amp;$B$6</f>
        <v>Espec. Armenia, Suelo D, Zona A</v>
      </c>
      <c r="L26" s="132"/>
      <c r="M26" s="133"/>
      <c r="N26" s="133"/>
      <c r="O26" s="133"/>
      <c r="P26" s="134"/>
    </row>
    <row r="27" spans="1:16" x14ac:dyDescent="0.2">
      <c r="A27" s="123">
        <f t="shared" si="3"/>
        <v>1.9000000000000008</v>
      </c>
      <c r="B27" s="191">
        <f t="shared" si="0"/>
        <v>0.30126355859831516</v>
      </c>
      <c r="C27" s="125">
        <f t="shared" si="1"/>
        <v>1.5</v>
      </c>
      <c r="D27" s="125">
        <f t="shared" si="2"/>
        <v>0.20084237239887678</v>
      </c>
      <c r="I27" s="162"/>
    </row>
    <row r="28" spans="1:16" x14ac:dyDescent="0.2">
      <c r="A28" s="123">
        <f t="shared" si="3"/>
        <v>2.0000000000000009</v>
      </c>
      <c r="B28" s="191">
        <f t="shared" si="0"/>
        <v>0.2789536251780928</v>
      </c>
      <c r="C28" s="125">
        <f t="shared" si="1"/>
        <v>1.5</v>
      </c>
      <c r="D28" s="125">
        <f t="shared" si="2"/>
        <v>0.18596908345206187</v>
      </c>
      <c r="I28" s="162"/>
    </row>
    <row r="29" spans="1:16" x14ac:dyDescent="0.2">
      <c r="A29" s="123">
        <f t="shared" si="3"/>
        <v>2.100000000000001</v>
      </c>
      <c r="B29" s="191">
        <f t="shared" si="0"/>
        <v>0.25926748872434141</v>
      </c>
      <c r="C29" s="125">
        <f t="shared" si="1"/>
        <v>1.5</v>
      </c>
      <c r="D29" s="125">
        <f t="shared" si="2"/>
        <v>0.17284499248289428</v>
      </c>
      <c r="I29" s="162"/>
    </row>
    <row r="30" spans="1:16" x14ac:dyDescent="0.2">
      <c r="A30" s="123">
        <f t="shared" si="3"/>
        <v>2.2000000000000011</v>
      </c>
      <c r="B30" s="191">
        <f t="shared" si="0"/>
        <v>0.24179258703795345</v>
      </c>
      <c r="C30" s="125">
        <f t="shared" si="1"/>
        <v>1.5</v>
      </c>
      <c r="D30" s="125">
        <f t="shared" si="2"/>
        <v>0.16119505802530229</v>
      </c>
      <c r="I30" s="162"/>
    </row>
    <row r="31" spans="1:16" x14ac:dyDescent="0.2">
      <c r="A31" s="123">
        <f t="shared" si="3"/>
        <v>2.3000000000000012</v>
      </c>
      <c r="B31" s="191">
        <f t="shared" si="0"/>
        <v>0.22619617109098936</v>
      </c>
      <c r="C31" s="125">
        <f t="shared" si="1"/>
        <v>1.5</v>
      </c>
      <c r="D31" s="125">
        <f t="shared" si="2"/>
        <v>0.15079744739399289</v>
      </c>
      <c r="I31" s="162"/>
    </row>
    <row r="32" spans="1:16" ht="15" thickBot="1" x14ac:dyDescent="0.25">
      <c r="A32" s="123">
        <f t="shared" si="3"/>
        <v>2.4000000000000012</v>
      </c>
      <c r="B32" s="191">
        <f t="shared" si="0"/>
        <v>0.22</v>
      </c>
      <c r="C32" s="125">
        <f t="shared" si="1"/>
        <v>1.5</v>
      </c>
      <c r="D32" s="125">
        <f t="shared" si="2"/>
        <v>0.14666666666666667</v>
      </c>
      <c r="I32" s="162"/>
    </row>
    <row r="33" spans="1:17" ht="16.5" thickBot="1" x14ac:dyDescent="0.35">
      <c r="A33" s="123">
        <f t="shared" si="3"/>
        <v>2.5000000000000013</v>
      </c>
      <c r="B33" s="191">
        <f t="shared" si="0"/>
        <v>0.22</v>
      </c>
      <c r="C33" s="125">
        <f t="shared" si="1"/>
        <v>1.5</v>
      </c>
      <c r="D33" s="125">
        <f t="shared" si="2"/>
        <v>0.14666666666666667</v>
      </c>
      <c r="I33" s="162"/>
      <c r="L33" s="135" t="s">
        <v>212</v>
      </c>
      <c r="M33" s="136" t="s">
        <v>213</v>
      </c>
      <c r="N33" s="137" t="s">
        <v>214</v>
      </c>
      <c r="O33" s="137" t="s">
        <v>215</v>
      </c>
      <c r="P33" s="137" t="s">
        <v>216</v>
      </c>
      <c r="Q33" s="137" t="s">
        <v>217</v>
      </c>
    </row>
    <row r="34" spans="1:17" ht="15" thickBot="1" x14ac:dyDescent="0.25">
      <c r="A34" s="123">
        <f t="shared" si="3"/>
        <v>2.6000000000000014</v>
      </c>
      <c r="B34" s="191">
        <f t="shared" si="0"/>
        <v>0.22</v>
      </c>
      <c r="C34" s="125">
        <f t="shared" si="1"/>
        <v>1.5</v>
      </c>
      <c r="D34" s="125">
        <f t="shared" si="2"/>
        <v>0.14666666666666667</v>
      </c>
      <c r="I34" s="162"/>
      <c r="K34" s="17" t="s">
        <v>218</v>
      </c>
    </row>
    <row r="35" spans="1:17" x14ac:dyDescent="0.2">
      <c r="A35" s="123">
        <f t="shared" si="3"/>
        <v>2.7000000000000015</v>
      </c>
      <c r="B35" s="191">
        <f t="shared" si="0"/>
        <v>0.22</v>
      </c>
      <c r="C35" s="125">
        <f t="shared" si="1"/>
        <v>1.5</v>
      </c>
      <c r="D35" s="125">
        <f t="shared" si="2"/>
        <v>0.14666666666666667</v>
      </c>
      <c r="I35" s="162"/>
      <c r="K35" s="138" t="s">
        <v>219</v>
      </c>
      <c r="L35" s="139">
        <f>'[1]CORTANTE BASAL (Y)'!$B$13</f>
        <v>0.13952055149611803</v>
      </c>
      <c r="M35" s="140">
        <f t="shared" ref="M35:M36" si="4">IF(L35=0,$B$8*$B$9*$E$11,IF(AND(L35&gt;=$E$8,L35&lt;=$E$9),2.5*$B$8*$B$9*$E$11,IF(AND(L35&gt;$E$9,L35&lt;$E$10),IF(OR($B$6="A",$B$6="B"),1.2*$B$8*$B$10*$E$11/L35^1.5,1.2*$B$8*$B$10*$E$11/L35),$B$8*$B$9*$E$11/2)))</f>
        <v>1.1000000000000001</v>
      </c>
      <c r="N35" s="141">
        <f>M35/(2*PI()/$L35)^2*9.81</f>
        <v>5.3208170240298799E-3</v>
      </c>
      <c r="O35" s="141">
        <f>IF(L35&gt;Ao,Rsis,(Rsis-1)*TBOG/Ao+1)</f>
        <v>11.937500000000004</v>
      </c>
      <c r="P35" s="141">
        <f>M35/O35</f>
        <v>9.2146596858638727E-2</v>
      </c>
      <c r="Q35" s="141">
        <f>P35/(2*PI()/$L35)^2*9.81</f>
        <v>4.457228920653302E-4</v>
      </c>
    </row>
    <row r="36" spans="1:17" ht="15" thickBot="1" x14ac:dyDescent="0.25">
      <c r="A36" s="123">
        <f t="shared" si="3"/>
        <v>2.8000000000000016</v>
      </c>
      <c r="B36" s="191">
        <f t="shared" si="0"/>
        <v>0.22</v>
      </c>
      <c r="C36" s="125">
        <f t="shared" si="1"/>
        <v>1.5</v>
      </c>
      <c r="D36" s="125">
        <f t="shared" si="2"/>
        <v>0.14666666666666667</v>
      </c>
      <c r="I36" s="162"/>
      <c r="K36" s="142" t="s">
        <v>220</v>
      </c>
      <c r="L36" s="143">
        <f>'[1]CORTANTE BASAL (Y)'!$R$19</f>
        <v>0.16742466179534163</v>
      </c>
      <c r="M36" s="144">
        <f t="shared" si="4"/>
        <v>1.1000000000000001</v>
      </c>
      <c r="N36" s="145">
        <f t="shared" ref="N36" si="5">M36/(2*PI()/$L36)^2*9.81</f>
        <v>7.6619765146030269E-3</v>
      </c>
      <c r="O36" s="145">
        <f>IF(L36&gt;Ao,Rsis,(Rsis-1)*TBOG/Ao+1)</f>
        <v>1.5</v>
      </c>
      <c r="P36" s="145">
        <f t="shared" ref="P36" si="6">M36/O36</f>
        <v>0.73333333333333339</v>
      </c>
      <c r="Q36" s="145">
        <f t="shared" ref="Q36" si="7">P36/(2*PI()/$L36)^2*9.81</f>
        <v>5.1079843430686849E-3</v>
      </c>
    </row>
    <row r="37" spans="1:17" x14ac:dyDescent="0.2">
      <c r="A37" s="123">
        <f t="shared" si="3"/>
        <v>2.9000000000000017</v>
      </c>
      <c r="B37" s="191">
        <f t="shared" si="0"/>
        <v>0.22</v>
      </c>
      <c r="C37" s="125">
        <f t="shared" si="1"/>
        <v>1.5</v>
      </c>
      <c r="D37" s="125">
        <f t="shared" si="2"/>
        <v>0.14666666666666667</v>
      </c>
      <c r="I37" s="162"/>
    </row>
    <row r="38" spans="1:17" x14ac:dyDescent="0.2">
      <c r="A38" s="123">
        <f t="shared" si="3"/>
        <v>3.0000000000000018</v>
      </c>
      <c r="B38" s="191">
        <f t="shared" si="0"/>
        <v>0.22</v>
      </c>
      <c r="C38" s="125">
        <f t="shared" si="1"/>
        <v>1.5</v>
      </c>
      <c r="D38" s="125">
        <f t="shared" si="2"/>
        <v>0.14666666666666667</v>
      </c>
      <c r="I38" s="162"/>
    </row>
    <row r="39" spans="1:17" x14ac:dyDescent="0.2">
      <c r="A39" s="123">
        <f t="shared" si="3"/>
        <v>3.1000000000000019</v>
      </c>
      <c r="B39" s="191">
        <f t="shared" si="0"/>
        <v>0.22</v>
      </c>
      <c r="C39" s="125">
        <f t="shared" si="1"/>
        <v>1.5</v>
      </c>
      <c r="D39" s="125">
        <f t="shared" si="2"/>
        <v>0.14666666666666667</v>
      </c>
      <c r="I39" s="162"/>
    </row>
    <row r="40" spans="1:17" x14ac:dyDescent="0.2">
      <c r="A40" s="123">
        <f t="shared" si="3"/>
        <v>3.200000000000002</v>
      </c>
      <c r="B40" s="191">
        <f t="shared" si="0"/>
        <v>0.22</v>
      </c>
      <c r="C40" s="125">
        <f t="shared" si="1"/>
        <v>1.5</v>
      </c>
      <c r="D40" s="125">
        <f t="shared" si="2"/>
        <v>0.14666666666666667</v>
      </c>
      <c r="I40" s="162"/>
    </row>
    <row r="41" spans="1:17" x14ac:dyDescent="0.2">
      <c r="A41" s="123">
        <f t="shared" si="3"/>
        <v>3.300000000000002</v>
      </c>
      <c r="B41" s="191">
        <f t="shared" si="0"/>
        <v>0.22</v>
      </c>
      <c r="C41" s="125">
        <f t="shared" si="1"/>
        <v>1.5</v>
      </c>
      <c r="D41" s="125">
        <f t="shared" si="2"/>
        <v>0.14666666666666667</v>
      </c>
      <c r="I41" s="162"/>
    </row>
    <row r="42" spans="1:17" x14ac:dyDescent="0.2">
      <c r="A42" s="123">
        <f t="shared" si="3"/>
        <v>3.4000000000000021</v>
      </c>
      <c r="B42" s="191">
        <f t="shared" si="0"/>
        <v>0.22</v>
      </c>
      <c r="C42" s="125">
        <f t="shared" si="1"/>
        <v>1.5</v>
      </c>
      <c r="D42" s="125">
        <f t="shared" si="2"/>
        <v>0.14666666666666667</v>
      </c>
      <c r="I42" s="162"/>
    </row>
    <row r="43" spans="1:17" x14ac:dyDescent="0.2">
      <c r="A43" s="123">
        <f t="shared" si="3"/>
        <v>3.5000000000000022</v>
      </c>
      <c r="B43" s="191">
        <f t="shared" si="0"/>
        <v>0.22</v>
      </c>
      <c r="C43" s="125">
        <f t="shared" si="1"/>
        <v>1.5</v>
      </c>
      <c r="D43" s="125">
        <f t="shared" si="2"/>
        <v>0.14666666666666667</v>
      </c>
      <c r="I43" s="162"/>
    </row>
    <row r="44" spans="1:17" x14ac:dyDescent="0.2">
      <c r="A44" s="123">
        <f t="shared" si="3"/>
        <v>3.6000000000000023</v>
      </c>
      <c r="B44" s="191">
        <f t="shared" si="0"/>
        <v>0.22</v>
      </c>
      <c r="C44" s="125">
        <f t="shared" si="1"/>
        <v>1.5</v>
      </c>
      <c r="D44" s="125">
        <f t="shared" si="2"/>
        <v>0.14666666666666667</v>
      </c>
      <c r="I44" s="162"/>
    </row>
    <row r="45" spans="1:17" x14ac:dyDescent="0.2">
      <c r="A45" s="123">
        <f t="shared" si="3"/>
        <v>3.7000000000000024</v>
      </c>
      <c r="B45" s="191">
        <f t="shared" si="0"/>
        <v>0.22</v>
      </c>
      <c r="C45" s="125">
        <f t="shared" si="1"/>
        <v>1.5</v>
      </c>
      <c r="D45" s="125">
        <f t="shared" si="2"/>
        <v>0.14666666666666667</v>
      </c>
      <c r="I45" s="162"/>
    </row>
    <row r="46" spans="1:17" x14ac:dyDescent="0.2">
      <c r="A46" s="123">
        <f t="shared" si="3"/>
        <v>3.8000000000000025</v>
      </c>
      <c r="B46" s="191">
        <f t="shared" si="0"/>
        <v>0.22</v>
      </c>
      <c r="C46" s="125">
        <f t="shared" si="1"/>
        <v>1.5</v>
      </c>
      <c r="D46" s="125">
        <f t="shared" si="2"/>
        <v>0.14666666666666667</v>
      </c>
      <c r="I46" s="162"/>
    </row>
    <row r="47" spans="1:17" x14ac:dyDescent="0.2">
      <c r="A47" s="123">
        <f t="shared" si="3"/>
        <v>3.9000000000000026</v>
      </c>
      <c r="B47" s="191">
        <f t="shared" si="0"/>
        <v>0.22</v>
      </c>
      <c r="C47" s="125">
        <f t="shared" si="1"/>
        <v>1.5</v>
      </c>
      <c r="D47" s="125">
        <f t="shared" si="2"/>
        <v>0.14666666666666667</v>
      </c>
      <c r="I47" s="162"/>
    </row>
    <row r="48" spans="1:17" x14ac:dyDescent="0.2">
      <c r="A48" s="123">
        <f t="shared" si="3"/>
        <v>4.0000000000000027</v>
      </c>
      <c r="B48" s="191">
        <f t="shared" si="0"/>
        <v>0.22</v>
      </c>
      <c r="C48" s="125">
        <f t="shared" si="1"/>
        <v>1.5</v>
      </c>
      <c r="D48" s="125">
        <f t="shared" si="2"/>
        <v>0.14666666666666667</v>
      </c>
      <c r="I48" s="162"/>
    </row>
    <row r="49" spans="1:9" ht="15" thickBot="1" x14ac:dyDescent="0.25">
      <c r="A49" s="203">
        <f t="shared" si="3"/>
        <v>4.1000000000000023</v>
      </c>
      <c r="B49" s="204">
        <f t="shared" si="0"/>
        <v>0.22</v>
      </c>
      <c r="C49" s="205">
        <f t="shared" si="1"/>
        <v>1.5</v>
      </c>
      <c r="D49" s="205">
        <f t="shared" si="2"/>
        <v>0.14666666666666667</v>
      </c>
      <c r="E49" s="72"/>
      <c r="F49" s="72"/>
      <c r="G49" s="72"/>
      <c r="H49" s="72"/>
      <c r="I49" s="206"/>
    </row>
  </sheetData>
  <mergeCells count="2">
    <mergeCell ref="D1:I1"/>
    <mergeCell ref="K7:N7"/>
  </mergeCells>
  <dataValidations count="2">
    <dataValidation type="list" allowBlank="1" showInputMessage="1" showErrorMessage="1" sqref="B6" xr:uid="{CCCA8E1E-D5DA-40C0-9713-439F1D5528D1}">
      <formula1>$L$8:$N$8</formula1>
    </dataValidation>
    <dataValidation type="list" allowBlank="1" showInputMessage="1" showErrorMessage="1" sqref="D4" xr:uid="{2CFF226B-7E88-4EF8-ADA9-C2F22693939F}">
      <formula1>$K$2:$K$5</formula1>
    </dataValidation>
  </dataValidations>
  <pageMargins left="0.7" right="0.7" top="0.75" bottom="0.75" header="0.3" footer="0.3"/>
  <pageSetup paperSize="9" orientation="portrait" horizontalDpi="200" verticalDpi="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EBB2-BFEE-4872-9922-E555F63FB6E8}">
  <dimension ref="A1:R49"/>
  <sheetViews>
    <sheetView showGridLines="0" view="pageBreakPreview" zoomScale="85" zoomScaleNormal="85" zoomScaleSheetLayoutView="85" workbookViewId="0"/>
  </sheetViews>
  <sheetFormatPr baseColWidth="10" defaultRowHeight="14.25" x14ac:dyDescent="0.2"/>
  <cols>
    <col min="1" max="1" width="7.42578125" style="17" bestFit="1" customWidth="1"/>
    <col min="2" max="2" width="7.85546875" style="17" customWidth="1"/>
    <col min="3" max="3" width="5.85546875" style="17" customWidth="1"/>
    <col min="4" max="4" width="4.7109375" style="17" bestFit="1" customWidth="1"/>
    <col min="5" max="5" width="8.140625" style="17" customWidth="1"/>
    <col min="6" max="11" width="11.42578125" style="17"/>
    <col min="12" max="12" width="12.28515625" style="17" customWidth="1"/>
    <col min="13" max="16" width="11.42578125" style="17"/>
    <col min="17" max="17" width="9.42578125" style="17" customWidth="1"/>
    <col min="18" max="256" width="11.42578125" style="17"/>
    <col min="257" max="257" width="7.42578125" style="17" bestFit="1" customWidth="1"/>
    <col min="258" max="258" width="7.85546875" style="17" customWidth="1"/>
    <col min="259" max="259" width="5.85546875" style="17" customWidth="1"/>
    <col min="260" max="260" width="4.7109375" style="17" bestFit="1" customWidth="1"/>
    <col min="261" max="261" width="8.140625" style="17" customWidth="1"/>
    <col min="262" max="272" width="11.42578125" style="17"/>
    <col min="273" max="273" width="2" style="17" bestFit="1" customWidth="1"/>
    <col min="274" max="512" width="11.42578125" style="17"/>
    <col min="513" max="513" width="7.42578125" style="17" bestFit="1" customWidth="1"/>
    <col min="514" max="514" width="7.85546875" style="17" customWidth="1"/>
    <col min="515" max="515" width="5.85546875" style="17" customWidth="1"/>
    <col min="516" max="516" width="4.7109375" style="17" bestFit="1" customWidth="1"/>
    <col min="517" max="517" width="8.140625" style="17" customWidth="1"/>
    <col min="518" max="528" width="11.42578125" style="17"/>
    <col min="529" max="529" width="2" style="17" bestFit="1" customWidth="1"/>
    <col min="530" max="768" width="11.42578125" style="17"/>
    <col min="769" max="769" width="7.42578125" style="17" bestFit="1" customWidth="1"/>
    <col min="770" max="770" width="7.85546875" style="17" customWidth="1"/>
    <col min="771" max="771" width="5.85546875" style="17" customWidth="1"/>
    <col min="772" max="772" width="4.7109375" style="17" bestFit="1" customWidth="1"/>
    <col min="773" max="773" width="8.140625" style="17" customWidth="1"/>
    <col min="774" max="784" width="11.42578125" style="17"/>
    <col min="785" max="785" width="2" style="17" bestFit="1" customWidth="1"/>
    <col min="786" max="1024" width="11.42578125" style="17"/>
    <col min="1025" max="1025" width="7.42578125" style="17" bestFit="1" customWidth="1"/>
    <col min="1026" max="1026" width="7.85546875" style="17" customWidth="1"/>
    <col min="1027" max="1027" width="5.85546875" style="17" customWidth="1"/>
    <col min="1028" max="1028" width="4.7109375" style="17" bestFit="1" customWidth="1"/>
    <col min="1029" max="1029" width="8.140625" style="17" customWidth="1"/>
    <col min="1030" max="1040" width="11.42578125" style="17"/>
    <col min="1041" max="1041" width="2" style="17" bestFit="1" customWidth="1"/>
    <col min="1042" max="1280" width="11.42578125" style="17"/>
    <col min="1281" max="1281" width="7.42578125" style="17" bestFit="1" customWidth="1"/>
    <col min="1282" max="1282" width="7.85546875" style="17" customWidth="1"/>
    <col min="1283" max="1283" width="5.85546875" style="17" customWidth="1"/>
    <col min="1284" max="1284" width="4.7109375" style="17" bestFit="1" customWidth="1"/>
    <col min="1285" max="1285" width="8.140625" style="17" customWidth="1"/>
    <col min="1286" max="1296" width="11.42578125" style="17"/>
    <col min="1297" max="1297" width="2" style="17" bestFit="1" customWidth="1"/>
    <col min="1298" max="1536" width="11.42578125" style="17"/>
    <col min="1537" max="1537" width="7.42578125" style="17" bestFit="1" customWidth="1"/>
    <col min="1538" max="1538" width="7.85546875" style="17" customWidth="1"/>
    <col min="1539" max="1539" width="5.85546875" style="17" customWidth="1"/>
    <col min="1540" max="1540" width="4.7109375" style="17" bestFit="1" customWidth="1"/>
    <col min="1541" max="1541" width="8.140625" style="17" customWidth="1"/>
    <col min="1542" max="1552" width="11.42578125" style="17"/>
    <col min="1553" max="1553" width="2" style="17" bestFit="1" customWidth="1"/>
    <col min="1554" max="1792" width="11.42578125" style="17"/>
    <col min="1793" max="1793" width="7.42578125" style="17" bestFit="1" customWidth="1"/>
    <col min="1794" max="1794" width="7.85546875" style="17" customWidth="1"/>
    <col min="1795" max="1795" width="5.85546875" style="17" customWidth="1"/>
    <col min="1796" max="1796" width="4.7109375" style="17" bestFit="1" customWidth="1"/>
    <col min="1797" max="1797" width="8.140625" style="17" customWidth="1"/>
    <col min="1798" max="1808" width="11.42578125" style="17"/>
    <col min="1809" max="1809" width="2" style="17" bestFit="1" customWidth="1"/>
    <col min="1810" max="2048" width="11.42578125" style="17"/>
    <col min="2049" max="2049" width="7.42578125" style="17" bestFit="1" customWidth="1"/>
    <col min="2050" max="2050" width="7.85546875" style="17" customWidth="1"/>
    <col min="2051" max="2051" width="5.85546875" style="17" customWidth="1"/>
    <col min="2052" max="2052" width="4.7109375" style="17" bestFit="1" customWidth="1"/>
    <col min="2053" max="2053" width="8.140625" style="17" customWidth="1"/>
    <col min="2054" max="2064" width="11.42578125" style="17"/>
    <col min="2065" max="2065" width="2" style="17" bestFit="1" customWidth="1"/>
    <col min="2066" max="2304" width="11.42578125" style="17"/>
    <col min="2305" max="2305" width="7.42578125" style="17" bestFit="1" customWidth="1"/>
    <col min="2306" max="2306" width="7.85546875" style="17" customWidth="1"/>
    <col min="2307" max="2307" width="5.85546875" style="17" customWidth="1"/>
    <col min="2308" max="2308" width="4.7109375" style="17" bestFit="1" customWidth="1"/>
    <col min="2309" max="2309" width="8.140625" style="17" customWidth="1"/>
    <col min="2310" max="2320" width="11.42578125" style="17"/>
    <col min="2321" max="2321" width="2" style="17" bestFit="1" customWidth="1"/>
    <col min="2322" max="2560" width="11.42578125" style="17"/>
    <col min="2561" max="2561" width="7.42578125" style="17" bestFit="1" customWidth="1"/>
    <col min="2562" max="2562" width="7.85546875" style="17" customWidth="1"/>
    <col min="2563" max="2563" width="5.85546875" style="17" customWidth="1"/>
    <col min="2564" max="2564" width="4.7109375" style="17" bestFit="1" customWidth="1"/>
    <col min="2565" max="2565" width="8.140625" style="17" customWidth="1"/>
    <col min="2566" max="2576" width="11.42578125" style="17"/>
    <col min="2577" max="2577" width="2" style="17" bestFit="1" customWidth="1"/>
    <col min="2578" max="2816" width="11.42578125" style="17"/>
    <col min="2817" max="2817" width="7.42578125" style="17" bestFit="1" customWidth="1"/>
    <col min="2818" max="2818" width="7.85546875" style="17" customWidth="1"/>
    <col min="2819" max="2819" width="5.85546875" style="17" customWidth="1"/>
    <col min="2820" max="2820" width="4.7109375" style="17" bestFit="1" customWidth="1"/>
    <col min="2821" max="2821" width="8.140625" style="17" customWidth="1"/>
    <col min="2822" max="2832" width="11.42578125" style="17"/>
    <col min="2833" max="2833" width="2" style="17" bestFit="1" customWidth="1"/>
    <col min="2834" max="3072" width="11.42578125" style="17"/>
    <col min="3073" max="3073" width="7.42578125" style="17" bestFit="1" customWidth="1"/>
    <col min="3074" max="3074" width="7.85546875" style="17" customWidth="1"/>
    <col min="3075" max="3075" width="5.85546875" style="17" customWidth="1"/>
    <col min="3076" max="3076" width="4.7109375" style="17" bestFit="1" customWidth="1"/>
    <col min="3077" max="3077" width="8.140625" style="17" customWidth="1"/>
    <col min="3078" max="3088" width="11.42578125" style="17"/>
    <col min="3089" max="3089" width="2" style="17" bestFit="1" customWidth="1"/>
    <col min="3090" max="3328" width="11.42578125" style="17"/>
    <col min="3329" max="3329" width="7.42578125" style="17" bestFit="1" customWidth="1"/>
    <col min="3330" max="3330" width="7.85546875" style="17" customWidth="1"/>
    <col min="3331" max="3331" width="5.85546875" style="17" customWidth="1"/>
    <col min="3332" max="3332" width="4.7109375" style="17" bestFit="1" customWidth="1"/>
    <col min="3333" max="3333" width="8.140625" style="17" customWidth="1"/>
    <col min="3334" max="3344" width="11.42578125" style="17"/>
    <col min="3345" max="3345" width="2" style="17" bestFit="1" customWidth="1"/>
    <col min="3346" max="3584" width="11.42578125" style="17"/>
    <col min="3585" max="3585" width="7.42578125" style="17" bestFit="1" customWidth="1"/>
    <col min="3586" max="3586" width="7.85546875" style="17" customWidth="1"/>
    <col min="3587" max="3587" width="5.85546875" style="17" customWidth="1"/>
    <col min="3588" max="3588" width="4.7109375" style="17" bestFit="1" customWidth="1"/>
    <col min="3589" max="3589" width="8.140625" style="17" customWidth="1"/>
    <col min="3590" max="3600" width="11.42578125" style="17"/>
    <col min="3601" max="3601" width="2" style="17" bestFit="1" customWidth="1"/>
    <col min="3602" max="3840" width="11.42578125" style="17"/>
    <col min="3841" max="3841" width="7.42578125" style="17" bestFit="1" customWidth="1"/>
    <col min="3842" max="3842" width="7.85546875" style="17" customWidth="1"/>
    <col min="3843" max="3843" width="5.85546875" style="17" customWidth="1"/>
    <col min="3844" max="3844" width="4.7109375" style="17" bestFit="1" customWidth="1"/>
    <col min="3845" max="3845" width="8.140625" style="17" customWidth="1"/>
    <col min="3846" max="3856" width="11.42578125" style="17"/>
    <col min="3857" max="3857" width="2" style="17" bestFit="1" customWidth="1"/>
    <col min="3858" max="4096" width="11.42578125" style="17"/>
    <col min="4097" max="4097" width="7.42578125" style="17" bestFit="1" customWidth="1"/>
    <col min="4098" max="4098" width="7.85546875" style="17" customWidth="1"/>
    <col min="4099" max="4099" width="5.85546875" style="17" customWidth="1"/>
    <col min="4100" max="4100" width="4.7109375" style="17" bestFit="1" customWidth="1"/>
    <col min="4101" max="4101" width="8.140625" style="17" customWidth="1"/>
    <col min="4102" max="4112" width="11.42578125" style="17"/>
    <col min="4113" max="4113" width="2" style="17" bestFit="1" customWidth="1"/>
    <col min="4114" max="4352" width="11.42578125" style="17"/>
    <col min="4353" max="4353" width="7.42578125" style="17" bestFit="1" customWidth="1"/>
    <col min="4354" max="4354" width="7.85546875" style="17" customWidth="1"/>
    <col min="4355" max="4355" width="5.85546875" style="17" customWidth="1"/>
    <col min="4356" max="4356" width="4.7109375" style="17" bestFit="1" customWidth="1"/>
    <col min="4357" max="4357" width="8.140625" style="17" customWidth="1"/>
    <col min="4358" max="4368" width="11.42578125" style="17"/>
    <col min="4369" max="4369" width="2" style="17" bestFit="1" customWidth="1"/>
    <col min="4370" max="4608" width="11.42578125" style="17"/>
    <col min="4609" max="4609" width="7.42578125" style="17" bestFit="1" customWidth="1"/>
    <col min="4610" max="4610" width="7.85546875" style="17" customWidth="1"/>
    <col min="4611" max="4611" width="5.85546875" style="17" customWidth="1"/>
    <col min="4612" max="4612" width="4.7109375" style="17" bestFit="1" customWidth="1"/>
    <col min="4613" max="4613" width="8.140625" style="17" customWidth="1"/>
    <col min="4614" max="4624" width="11.42578125" style="17"/>
    <col min="4625" max="4625" width="2" style="17" bestFit="1" customWidth="1"/>
    <col min="4626" max="4864" width="11.42578125" style="17"/>
    <col min="4865" max="4865" width="7.42578125" style="17" bestFit="1" customWidth="1"/>
    <col min="4866" max="4866" width="7.85546875" style="17" customWidth="1"/>
    <col min="4867" max="4867" width="5.85546875" style="17" customWidth="1"/>
    <col min="4868" max="4868" width="4.7109375" style="17" bestFit="1" customWidth="1"/>
    <col min="4869" max="4869" width="8.140625" style="17" customWidth="1"/>
    <col min="4870" max="4880" width="11.42578125" style="17"/>
    <col min="4881" max="4881" width="2" style="17" bestFit="1" customWidth="1"/>
    <col min="4882" max="5120" width="11.42578125" style="17"/>
    <col min="5121" max="5121" width="7.42578125" style="17" bestFit="1" customWidth="1"/>
    <col min="5122" max="5122" width="7.85546875" style="17" customWidth="1"/>
    <col min="5123" max="5123" width="5.85546875" style="17" customWidth="1"/>
    <col min="5124" max="5124" width="4.7109375" style="17" bestFit="1" customWidth="1"/>
    <col min="5125" max="5125" width="8.140625" style="17" customWidth="1"/>
    <col min="5126" max="5136" width="11.42578125" style="17"/>
    <col min="5137" max="5137" width="2" style="17" bestFit="1" customWidth="1"/>
    <col min="5138" max="5376" width="11.42578125" style="17"/>
    <col min="5377" max="5377" width="7.42578125" style="17" bestFit="1" customWidth="1"/>
    <col min="5378" max="5378" width="7.85546875" style="17" customWidth="1"/>
    <col min="5379" max="5379" width="5.85546875" style="17" customWidth="1"/>
    <col min="5380" max="5380" width="4.7109375" style="17" bestFit="1" customWidth="1"/>
    <col min="5381" max="5381" width="8.140625" style="17" customWidth="1"/>
    <col min="5382" max="5392" width="11.42578125" style="17"/>
    <col min="5393" max="5393" width="2" style="17" bestFit="1" customWidth="1"/>
    <col min="5394" max="5632" width="11.42578125" style="17"/>
    <col min="5633" max="5633" width="7.42578125" style="17" bestFit="1" customWidth="1"/>
    <col min="5634" max="5634" width="7.85546875" style="17" customWidth="1"/>
    <col min="5635" max="5635" width="5.85546875" style="17" customWidth="1"/>
    <col min="5636" max="5636" width="4.7109375" style="17" bestFit="1" customWidth="1"/>
    <col min="5637" max="5637" width="8.140625" style="17" customWidth="1"/>
    <col min="5638" max="5648" width="11.42578125" style="17"/>
    <col min="5649" max="5649" width="2" style="17" bestFit="1" customWidth="1"/>
    <col min="5650" max="5888" width="11.42578125" style="17"/>
    <col min="5889" max="5889" width="7.42578125" style="17" bestFit="1" customWidth="1"/>
    <col min="5890" max="5890" width="7.85546875" style="17" customWidth="1"/>
    <col min="5891" max="5891" width="5.85546875" style="17" customWidth="1"/>
    <col min="5892" max="5892" width="4.7109375" style="17" bestFit="1" customWidth="1"/>
    <col min="5893" max="5893" width="8.140625" style="17" customWidth="1"/>
    <col min="5894" max="5904" width="11.42578125" style="17"/>
    <col min="5905" max="5905" width="2" style="17" bestFit="1" customWidth="1"/>
    <col min="5906" max="6144" width="11.42578125" style="17"/>
    <col min="6145" max="6145" width="7.42578125" style="17" bestFit="1" customWidth="1"/>
    <col min="6146" max="6146" width="7.85546875" style="17" customWidth="1"/>
    <col min="6147" max="6147" width="5.85546875" style="17" customWidth="1"/>
    <col min="6148" max="6148" width="4.7109375" style="17" bestFit="1" customWidth="1"/>
    <col min="6149" max="6149" width="8.140625" style="17" customWidth="1"/>
    <col min="6150" max="6160" width="11.42578125" style="17"/>
    <col min="6161" max="6161" width="2" style="17" bestFit="1" customWidth="1"/>
    <col min="6162" max="6400" width="11.42578125" style="17"/>
    <col min="6401" max="6401" width="7.42578125" style="17" bestFit="1" customWidth="1"/>
    <col min="6402" max="6402" width="7.85546875" style="17" customWidth="1"/>
    <col min="6403" max="6403" width="5.85546875" style="17" customWidth="1"/>
    <col min="6404" max="6404" width="4.7109375" style="17" bestFit="1" customWidth="1"/>
    <col min="6405" max="6405" width="8.140625" style="17" customWidth="1"/>
    <col min="6406" max="6416" width="11.42578125" style="17"/>
    <col min="6417" max="6417" width="2" style="17" bestFit="1" customWidth="1"/>
    <col min="6418" max="6656" width="11.42578125" style="17"/>
    <col min="6657" max="6657" width="7.42578125" style="17" bestFit="1" customWidth="1"/>
    <col min="6658" max="6658" width="7.85546875" style="17" customWidth="1"/>
    <col min="6659" max="6659" width="5.85546875" style="17" customWidth="1"/>
    <col min="6660" max="6660" width="4.7109375" style="17" bestFit="1" customWidth="1"/>
    <col min="6661" max="6661" width="8.140625" style="17" customWidth="1"/>
    <col min="6662" max="6672" width="11.42578125" style="17"/>
    <col min="6673" max="6673" width="2" style="17" bestFit="1" customWidth="1"/>
    <col min="6674" max="6912" width="11.42578125" style="17"/>
    <col min="6913" max="6913" width="7.42578125" style="17" bestFit="1" customWidth="1"/>
    <col min="6914" max="6914" width="7.85546875" style="17" customWidth="1"/>
    <col min="6915" max="6915" width="5.85546875" style="17" customWidth="1"/>
    <col min="6916" max="6916" width="4.7109375" style="17" bestFit="1" customWidth="1"/>
    <col min="6917" max="6917" width="8.140625" style="17" customWidth="1"/>
    <col min="6918" max="6928" width="11.42578125" style="17"/>
    <col min="6929" max="6929" width="2" style="17" bestFit="1" customWidth="1"/>
    <col min="6930" max="7168" width="11.42578125" style="17"/>
    <col min="7169" max="7169" width="7.42578125" style="17" bestFit="1" customWidth="1"/>
    <col min="7170" max="7170" width="7.85546875" style="17" customWidth="1"/>
    <col min="7171" max="7171" width="5.85546875" style="17" customWidth="1"/>
    <col min="7172" max="7172" width="4.7109375" style="17" bestFit="1" customWidth="1"/>
    <col min="7173" max="7173" width="8.140625" style="17" customWidth="1"/>
    <col min="7174" max="7184" width="11.42578125" style="17"/>
    <col min="7185" max="7185" width="2" style="17" bestFit="1" customWidth="1"/>
    <col min="7186" max="7424" width="11.42578125" style="17"/>
    <col min="7425" max="7425" width="7.42578125" style="17" bestFit="1" customWidth="1"/>
    <col min="7426" max="7426" width="7.85546875" style="17" customWidth="1"/>
    <col min="7427" max="7427" width="5.85546875" style="17" customWidth="1"/>
    <col min="7428" max="7428" width="4.7109375" style="17" bestFit="1" customWidth="1"/>
    <col min="7429" max="7429" width="8.140625" style="17" customWidth="1"/>
    <col min="7430" max="7440" width="11.42578125" style="17"/>
    <col min="7441" max="7441" width="2" style="17" bestFit="1" customWidth="1"/>
    <col min="7442" max="7680" width="11.42578125" style="17"/>
    <col min="7681" max="7681" width="7.42578125" style="17" bestFit="1" customWidth="1"/>
    <col min="7682" max="7682" width="7.85546875" style="17" customWidth="1"/>
    <col min="7683" max="7683" width="5.85546875" style="17" customWidth="1"/>
    <col min="7684" max="7684" width="4.7109375" style="17" bestFit="1" customWidth="1"/>
    <col min="7685" max="7685" width="8.140625" style="17" customWidth="1"/>
    <col min="7686" max="7696" width="11.42578125" style="17"/>
    <col min="7697" max="7697" width="2" style="17" bestFit="1" customWidth="1"/>
    <col min="7698" max="7936" width="11.42578125" style="17"/>
    <col min="7937" max="7937" width="7.42578125" style="17" bestFit="1" customWidth="1"/>
    <col min="7938" max="7938" width="7.85546875" style="17" customWidth="1"/>
    <col min="7939" max="7939" width="5.85546875" style="17" customWidth="1"/>
    <col min="7940" max="7940" width="4.7109375" style="17" bestFit="1" customWidth="1"/>
    <col min="7941" max="7941" width="8.140625" style="17" customWidth="1"/>
    <col min="7942" max="7952" width="11.42578125" style="17"/>
    <col min="7953" max="7953" width="2" style="17" bestFit="1" customWidth="1"/>
    <col min="7954" max="8192" width="11.42578125" style="17"/>
    <col min="8193" max="8193" width="7.42578125" style="17" bestFit="1" customWidth="1"/>
    <col min="8194" max="8194" width="7.85546875" style="17" customWidth="1"/>
    <col min="8195" max="8195" width="5.85546875" style="17" customWidth="1"/>
    <col min="8196" max="8196" width="4.7109375" style="17" bestFit="1" customWidth="1"/>
    <col min="8197" max="8197" width="8.140625" style="17" customWidth="1"/>
    <col min="8198" max="8208" width="11.42578125" style="17"/>
    <col min="8209" max="8209" width="2" style="17" bestFit="1" customWidth="1"/>
    <col min="8210" max="8448" width="11.42578125" style="17"/>
    <col min="8449" max="8449" width="7.42578125" style="17" bestFit="1" customWidth="1"/>
    <col min="8450" max="8450" width="7.85546875" style="17" customWidth="1"/>
    <col min="8451" max="8451" width="5.85546875" style="17" customWidth="1"/>
    <col min="8452" max="8452" width="4.7109375" style="17" bestFit="1" customWidth="1"/>
    <col min="8453" max="8453" width="8.140625" style="17" customWidth="1"/>
    <col min="8454" max="8464" width="11.42578125" style="17"/>
    <col min="8465" max="8465" width="2" style="17" bestFit="1" customWidth="1"/>
    <col min="8466" max="8704" width="11.42578125" style="17"/>
    <col min="8705" max="8705" width="7.42578125" style="17" bestFit="1" customWidth="1"/>
    <col min="8706" max="8706" width="7.85546875" style="17" customWidth="1"/>
    <col min="8707" max="8707" width="5.85546875" style="17" customWidth="1"/>
    <col min="8708" max="8708" width="4.7109375" style="17" bestFit="1" customWidth="1"/>
    <col min="8709" max="8709" width="8.140625" style="17" customWidth="1"/>
    <col min="8710" max="8720" width="11.42578125" style="17"/>
    <col min="8721" max="8721" width="2" style="17" bestFit="1" customWidth="1"/>
    <col min="8722" max="8960" width="11.42578125" style="17"/>
    <col min="8961" max="8961" width="7.42578125" style="17" bestFit="1" customWidth="1"/>
    <col min="8962" max="8962" width="7.85546875" style="17" customWidth="1"/>
    <col min="8963" max="8963" width="5.85546875" style="17" customWidth="1"/>
    <col min="8964" max="8964" width="4.7109375" style="17" bestFit="1" customWidth="1"/>
    <col min="8965" max="8965" width="8.140625" style="17" customWidth="1"/>
    <col min="8966" max="8976" width="11.42578125" style="17"/>
    <col min="8977" max="8977" width="2" style="17" bestFit="1" customWidth="1"/>
    <col min="8978" max="9216" width="11.42578125" style="17"/>
    <col min="9217" max="9217" width="7.42578125" style="17" bestFit="1" customWidth="1"/>
    <col min="9218" max="9218" width="7.85546875" style="17" customWidth="1"/>
    <col min="9219" max="9219" width="5.85546875" style="17" customWidth="1"/>
    <col min="9220" max="9220" width="4.7109375" style="17" bestFit="1" customWidth="1"/>
    <col min="9221" max="9221" width="8.140625" style="17" customWidth="1"/>
    <col min="9222" max="9232" width="11.42578125" style="17"/>
    <col min="9233" max="9233" width="2" style="17" bestFit="1" customWidth="1"/>
    <col min="9234" max="9472" width="11.42578125" style="17"/>
    <col min="9473" max="9473" width="7.42578125" style="17" bestFit="1" customWidth="1"/>
    <col min="9474" max="9474" width="7.85546875" style="17" customWidth="1"/>
    <col min="9475" max="9475" width="5.85546875" style="17" customWidth="1"/>
    <col min="9476" max="9476" width="4.7109375" style="17" bestFit="1" customWidth="1"/>
    <col min="9477" max="9477" width="8.140625" style="17" customWidth="1"/>
    <col min="9478" max="9488" width="11.42578125" style="17"/>
    <col min="9489" max="9489" width="2" style="17" bestFit="1" customWidth="1"/>
    <col min="9490" max="9728" width="11.42578125" style="17"/>
    <col min="9729" max="9729" width="7.42578125" style="17" bestFit="1" customWidth="1"/>
    <col min="9730" max="9730" width="7.85546875" style="17" customWidth="1"/>
    <col min="9731" max="9731" width="5.85546875" style="17" customWidth="1"/>
    <col min="9732" max="9732" width="4.7109375" style="17" bestFit="1" customWidth="1"/>
    <col min="9733" max="9733" width="8.140625" style="17" customWidth="1"/>
    <col min="9734" max="9744" width="11.42578125" style="17"/>
    <col min="9745" max="9745" width="2" style="17" bestFit="1" customWidth="1"/>
    <col min="9746" max="9984" width="11.42578125" style="17"/>
    <col min="9985" max="9985" width="7.42578125" style="17" bestFit="1" customWidth="1"/>
    <col min="9986" max="9986" width="7.85546875" style="17" customWidth="1"/>
    <col min="9987" max="9987" width="5.85546875" style="17" customWidth="1"/>
    <col min="9988" max="9988" width="4.7109375" style="17" bestFit="1" customWidth="1"/>
    <col min="9989" max="9989" width="8.140625" style="17" customWidth="1"/>
    <col min="9990" max="10000" width="11.42578125" style="17"/>
    <col min="10001" max="10001" width="2" style="17" bestFit="1" customWidth="1"/>
    <col min="10002" max="10240" width="11.42578125" style="17"/>
    <col min="10241" max="10241" width="7.42578125" style="17" bestFit="1" customWidth="1"/>
    <col min="10242" max="10242" width="7.85546875" style="17" customWidth="1"/>
    <col min="10243" max="10243" width="5.85546875" style="17" customWidth="1"/>
    <col min="10244" max="10244" width="4.7109375" style="17" bestFit="1" customWidth="1"/>
    <col min="10245" max="10245" width="8.140625" style="17" customWidth="1"/>
    <col min="10246" max="10256" width="11.42578125" style="17"/>
    <col min="10257" max="10257" width="2" style="17" bestFit="1" customWidth="1"/>
    <col min="10258" max="10496" width="11.42578125" style="17"/>
    <col min="10497" max="10497" width="7.42578125" style="17" bestFit="1" customWidth="1"/>
    <col min="10498" max="10498" width="7.85546875" style="17" customWidth="1"/>
    <col min="10499" max="10499" width="5.85546875" style="17" customWidth="1"/>
    <col min="10500" max="10500" width="4.7109375" style="17" bestFit="1" customWidth="1"/>
    <col min="10501" max="10501" width="8.140625" style="17" customWidth="1"/>
    <col min="10502" max="10512" width="11.42578125" style="17"/>
    <col min="10513" max="10513" width="2" style="17" bestFit="1" customWidth="1"/>
    <col min="10514" max="10752" width="11.42578125" style="17"/>
    <col min="10753" max="10753" width="7.42578125" style="17" bestFit="1" customWidth="1"/>
    <col min="10754" max="10754" width="7.85546875" style="17" customWidth="1"/>
    <col min="10755" max="10755" width="5.85546875" style="17" customWidth="1"/>
    <col min="10756" max="10756" width="4.7109375" style="17" bestFit="1" customWidth="1"/>
    <col min="10757" max="10757" width="8.140625" style="17" customWidth="1"/>
    <col min="10758" max="10768" width="11.42578125" style="17"/>
    <col min="10769" max="10769" width="2" style="17" bestFit="1" customWidth="1"/>
    <col min="10770" max="11008" width="11.42578125" style="17"/>
    <col min="11009" max="11009" width="7.42578125" style="17" bestFit="1" customWidth="1"/>
    <col min="11010" max="11010" width="7.85546875" style="17" customWidth="1"/>
    <col min="11011" max="11011" width="5.85546875" style="17" customWidth="1"/>
    <col min="11012" max="11012" width="4.7109375" style="17" bestFit="1" customWidth="1"/>
    <col min="11013" max="11013" width="8.140625" style="17" customWidth="1"/>
    <col min="11014" max="11024" width="11.42578125" style="17"/>
    <col min="11025" max="11025" width="2" style="17" bestFit="1" customWidth="1"/>
    <col min="11026" max="11264" width="11.42578125" style="17"/>
    <col min="11265" max="11265" width="7.42578125" style="17" bestFit="1" customWidth="1"/>
    <col min="11266" max="11266" width="7.85546875" style="17" customWidth="1"/>
    <col min="11267" max="11267" width="5.85546875" style="17" customWidth="1"/>
    <col min="11268" max="11268" width="4.7109375" style="17" bestFit="1" customWidth="1"/>
    <col min="11269" max="11269" width="8.140625" style="17" customWidth="1"/>
    <col min="11270" max="11280" width="11.42578125" style="17"/>
    <col min="11281" max="11281" width="2" style="17" bestFit="1" customWidth="1"/>
    <col min="11282" max="11520" width="11.42578125" style="17"/>
    <col min="11521" max="11521" width="7.42578125" style="17" bestFit="1" customWidth="1"/>
    <col min="11522" max="11522" width="7.85546875" style="17" customWidth="1"/>
    <col min="11523" max="11523" width="5.85546875" style="17" customWidth="1"/>
    <col min="11524" max="11524" width="4.7109375" style="17" bestFit="1" customWidth="1"/>
    <col min="11525" max="11525" width="8.140625" style="17" customWidth="1"/>
    <col min="11526" max="11536" width="11.42578125" style="17"/>
    <col min="11537" max="11537" width="2" style="17" bestFit="1" customWidth="1"/>
    <col min="11538" max="11776" width="11.42578125" style="17"/>
    <col min="11777" max="11777" width="7.42578125" style="17" bestFit="1" customWidth="1"/>
    <col min="11778" max="11778" width="7.85546875" style="17" customWidth="1"/>
    <col min="11779" max="11779" width="5.85546875" style="17" customWidth="1"/>
    <col min="11780" max="11780" width="4.7109375" style="17" bestFit="1" customWidth="1"/>
    <col min="11781" max="11781" width="8.140625" style="17" customWidth="1"/>
    <col min="11782" max="11792" width="11.42578125" style="17"/>
    <col min="11793" max="11793" width="2" style="17" bestFit="1" customWidth="1"/>
    <col min="11794" max="12032" width="11.42578125" style="17"/>
    <col min="12033" max="12033" width="7.42578125" style="17" bestFit="1" customWidth="1"/>
    <col min="12034" max="12034" width="7.85546875" style="17" customWidth="1"/>
    <col min="12035" max="12035" width="5.85546875" style="17" customWidth="1"/>
    <col min="12036" max="12036" width="4.7109375" style="17" bestFit="1" customWidth="1"/>
    <col min="12037" max="12037" width="8.140625" style="17" customWidth="1"/>
    <col min="12038" max="12048" width="11.42578125" style="17"/>
    <col min="12049" max="12049" width="2" style="17" bestFit="1" customWidth="1"/>
    <col min="12050" max="12288" width="11.42578125" style="17"/>
    <col min="12289" max="12289" width="7.42578125" style="17" bestFit="1" customWidth="1"/>
    <col min="12290" max="12290" width="7.85546875" style="17" customWidth="1"/>
    <col min="12291" max="12291" width="5.85546875" style="17" customWidth="1"/>
    <col min="12292" max="12292" width="4.7109375" style="17" bestFit="1" customWidth="1"/>
    <col min="12293" max="12293" width="8.140625" style="17" customWidth="1"/>
    <col min="12294" max="12304" width="11.42578125" style="17"/>
    <col min="12305" max="12305" width="2" style="17" bestFit="1" customWidth="1"/>
    <col min="12306" max="12544" width="11.42578125" style="17"/>
    <col min="12545" max="12545" width="7.42578125" style="17" bestFit="1" customWidth="1"/>
    <col min="12546" max="12546" width="7.85546875" style="17" customWidth="1"/>
    <col min="12547" max="12547" width="5.85546875" style="17" customWidth="1"/>
    <col min="12548" max="12548" width="4.7109375" style="17" bestFit="1" customWidth="1"/>
    <col min="12549" max="12549" width="8.140625" style="17" customWidth="1"/>
    <col min="12550" max="12560" width="11.42578125" style="17"/>
    <col min="12561" max="12561" width="2" style="17" bestFit="1" customWidth="1"/>
    <col min="12562" max="12800" width="11.42578125" style="17"/>
    <col min="12801" max="12801" width="7.42578125" style="17" bestFit="1" customWidth="1"/>
    <col min="12802" max="12802" width="7.85546875" style="17" customWidth="1"/>
    <col min="12803" max="12803" width="5.85546875" style="17" customWidth="1"/>
    <col min="12804" max="12804" width="4.7109375" style="17" bestFit="1" customWidth="1"/>
    <col min="12805" max="12805" width="8.140625" style="17" customWidth="1"/>
    <col min="12806" max="12816" width="11.42578125" style="17"/>
    <col min="12817" max="12817" width="2" style="17" bestFit="1" customWidth="1"/>
    <col min="12818" max="13056" width="11.42578125" style="17"/>
    <col min="13057" max="13057" width="7.42578125" style="17" bestFit="1" customWidth="1"/>
    <col min="13058" max="13058" width="7.85546875" style="17" customWidth="1"/>
    <col min="13059" max="13059" width="5.85546875" style="17" customWidth="1"/>
    <col min="13060" max="13060" width="4.7109375" style="17" bestFit="1" customWidth="1"/>
    <col min="13061" max="13061" width="8.140625" style="17" customWidth="1"/>
    <col min="13062" max="13072" width="11.42578125" style="17"/>
    <col min="13073" max="13073" width="2" style="17" bestFit="1" customWidth="1"/>
    <col min="13074" max="13312" width="11.42578125" style="17"/>
    <col min="13313" max="13313" width="7.42578125" style="17" bestFit="1" customWidth="1"/>
    <col min="13314" max="13314" width="7.85546875" style="17" customWidth="1"/>
    <col min="13315" max="13315" width="5.85546875" style="17" customWidth="1"/>
    <col min="13316" max="13316" width="4.7109375" style="17" bestFit="1" customWidth="1"/>
    <col min="13317" max="13317" width="8.140625" style="17" customWidth="1"/>
    <col min="13318" max="13328" width="11.42578125" style="17"/>
    <col min="13329" max="13329" width="2" style="17" bestFit="1" customWidth="1"/>
    <col min="13330" max="13568" width="11.42578125" style="17"/>
    <col min="13569" max="13569" width="7.42578125" style="17" bestFit="1" customWidth="1"/>
    <col min="13570" max="13570" width="7.85546875" style="17" customWidth="1"/>
    <col min="13571" max="13571" width="5.85546875" style="17" customWidth="1"/>
    <col min="13572" max="13572" width="4.7109375" style="17" bestFit="1" customWidth="1"/>
    <col min="13573" max="13573" width="8.140625" style="17" customWidth="1"/>
    <col min="13574" max="13584" width="11.42578125" style="17"/>
    <col min="13585" max="13585" width="2" style="17" bestFit="1" customWidth="1"/>
    <col min="13586" max="13824" width="11.42578125" style="17"/>
    <col min="13825" max="13825" width="7.42578125" style="17" bestFit="1" customWidth="1"/>
    <col min="13826" max="13826" width="7.85546875" style="17" customWidth="1"/>
    <col min="13827" max="13827" width="5.85546875" style="17" customWidth="1"/>
    <col min="13828" max="13828" width="4.7109375" style="17" bestFit="1" customWidth="1"/>
    <col min="13829" max="13829" width="8.140625" style="17" customWidth="1"/>
    <col min="13830" max="13840" width="11.42578125" style="17"/>
    <col min="13841" max="13841" width="2" style="17" bestFit="1" customWidth="1"/>
    <col min="13842" max="14080" width="11.42578125" style="17"/>
    <col min="14081" max="14081" width="7.42578125" style="17" bestFit="1" customWidth="1"/>
    <col min="14082" max="14082" width="7.85546875" style="17" customWidth="1"/>
    <col min="14083" max="14083" width="5.85546875" style="17" customWidth="1"/>
    <col min="14084" max="14084" width="4.7109375" style="17" bestFit="1" customWidth="1"/>
    <col min="14085" max="14085" width="8.140625" style="17" customWidth="1"/>
    <col min="14086" max="14096" width="11.42578125" style="17"/>
    <col min="14097" max="14097" width="2" style="17" bestFit="1" customWidth="1"/>
    <col min="14098" max="14336" width="11.42578125" style="17"/>
    <col min="14337" max="14337" width="7.42578125" style="17" bestFit="1" customWidth="1"/>
    <col min="14338" max="14338" width="7.85546875" style="17" customWidth="1"/>
    <col min="14339" max="14339" width="5.85546875" style="17" customWidth="1"/>
    <col min="14340" max="14340" width="4.7109375" style="17" bestFit="1" customWidth="1"/>
    <col min="14341" max="14341" width="8.140625" style="17" customWidth="1"/>
    <col min="14342" max="14352" width="11.42578125" style="17"/>
    <col min="14353" max="14353" width="2" style="17" bestFit="1" customWidth="1"/>
    <col min="14354" max="14592" width="11.42578125" style="17"/>
    <col min="14593" max="14593" width="7.42578125" style="17" bestFit="1" customWidth="1"/>
    <col min="14594" max="14594" width="7.85546875" style="17" customWidth="1"/>
    <col min="14595" max="14595" width="5.85546875" style="17" customWidth="1"/>
    <col min="14596" max="14596" width="4.7109375" style="17" bestFit="1" customWidth="1"/>
    <col min="14597" max="14597" width="8.140625" style="17" customWidth="1"/>
    <col min="14598" max="14608" width="11.42578125" style="17"/>
    <col min="14609" max="14609" width="2" style="17" bestFit="1" customWidth="1"/>
    <col min="14610" max="14848" width="11.42578125" style="17"/>
    <col min="14849" max="14849" width="7.42578125" style="17" bestFit="1" customWidth="1"/>
    <col min="14850" max="14850" width="7.85546875" style="17" customWidth="1"/>
    <col min="14851" max="14851" width="5.85546875" style="17" customWidth="1"/>
    <col min="14852" max="14852" width="4.7109375" style="17" bestFit="1" customWidth="1"/>
    <col min="14853" max="14853" width="8.140625" style="17" customWidth="1"/>
    <col min="14854" max="14864" width="11.42578125" style="17"/>
    <col min="14865" max="14865" width="2" style="17" bestFit="1" customWidth="1"/>
    <col min="14866" max="15104" width="11.42578125" style="17"/>
    <col min="15105" max="15105" width="7.42578125" style="17" bestFit="1" customWidth="1"/>
    <col min="15106" max="15106" width="7.85546875" style="17" customWidth="1"/>
    <col min="15107" max="15107" width="5.85546875" style="17" customWidth="1"/>
    <col min="15108" max="15108" width="4.7109375" style="17" bestFit="1" customWidth="1"/>
    <col min="15109" max="15109" width="8.140625" style="17" customWidth="1"/>
    <col min="15110" max="15120" width="11.42578125" style="17"/>
    <col min="15121" max="15121" width="2" style="17" bestFit="1" customWidth="1"/>
    <col min="15122" max="15360" width="11.42578125" style="17"/>
    <col min="15361" max="15361" width="7.42578125" style="17" bestFit="1" customWidth="1"/>
    <col min="15362" max="15362" width="7.85546875" style="17" customWidth="1"/>
    <col min="15363" max="15363" width="5.85546875" style="17" customWidth="1"/>
    <col min="15364" max="15364" width="4.7109375" style="17" bestFit="1" customWidth="1"/>
    <col min="15365" max="15365" width="8.140625" style="17" customWidth="1"/>
    <col min="15366" max="15376" width="11.42578125" style="17"/>
    <col min="15377" max="15377" width="2" style="17" bestFit="1" customWidth="1"/>
    <col min="15378" max="15616" width="11.42578125" style="17"/>
    <col min="15617" max="15617" width="7.42578125" style="17" bestFit="1" customWidth="1"/>
    <col min="15618" max="15618" width="7.85546875" style="17" customWidth="1"/>
    <col min="15619" max="15619" width="5.85546875" style="17" customWidth="1"/>
    <col min="15620" max="15620" width="4.7109375" style="17" bestFit="1" customWidth="1"/>
    <col min="15621" max="15621" width="8.140625" style="17" customWidth="1"/>
    <col min="15622" max="15632" width="11.42578125" style="17"/>
    <col min="15633" max="15633" width="2" style="17" bestFit="1" customWidth="1"/>
    <col min="15634" max="15872" width="11.42578125" style="17"/>
    <col min="15873" max="15873" width="7.42578125" style="17" bestFit="1" customWidth="1"/>
    <col min="15874" max="15874" width="7.85546875" style="17" customWidth="1"/>
    <col min="15875" max="15875" width="5.85546875" style="17" customWidth="1"/>
    <col min="15876" max="15876" width="4.7109375" style="17" bestFit="1" customWidth="1"/>
    <col min="15877" max="15877" width="8.140625" style="17" customWidth="1"/>
    <col min="15878" max="15888" width="11.42578125" style="17"/>
    <col min="15889" max="15889" width="2" style="17" bestFit="1" customWidth="1"/>
    <col min="15890" max="16128" width="11.42578125" style="17"/>
    <col min="16129" max="16129" width="7.42578125" style="17" bestFit="1" customWidth="1"/>
    <col min="16130" max="16130" width="7.85546875" style="17" customWidth="1"/>
    <col min="16131" max="16131" width="5.85546875" style="17" customWidth="1"/>
    <col min="16132" max="16132" width="4.7109375" style="17" bestFit="1" customWidth="1"/>
    <col min="16133" max="16133" width="8.140625" style="17" customWidth="1"/>
    <col min="16134" max="16144" width="11.42578125" style="17"/>
    <col min="16145" max="16145" width="2" style="17" bestFit="1" customWidth="1"/>
    <col min="16146" max="16384" width="11.42578125" style="17"/>
  </cols>
  <sheetData>
    <row r="1" spans="1:18" ht="45.75" customHeight="1" thickBot="1" x14ac:dyDescent="0.35">
      <c r="A1" s="250"/>
      <c r="B1" s="251"/>
      <c r="C1" s="252"/>
      <c r="D1" s="156" t="s">
        <v>276</v>
      </c>
      <c r="E1" s="157"/>
      <c r="F1" s="157"/>
      <c r="G1" s="157"/>
      <c r="H1" s="157"/>
      <c r="I1" s="158"/>
      <c r="K1" s="62" t="s">
        <v>22</v>
      </c>
      <c r="L1" s="63" t="s">
        <v>23</v>
      </c>
    </row>
    <row r="2" spans="1:18" ht="15" thickBot="1" x14ac:dyDescent="0.25">
      <c r="A2" s="159"/>
      <c r="B2" s="69"/>
      <c r="C2" s="69"/>
      <c r="D2" s="69"/>
      <c r="E2" s="69"/>
      <c r="F2" s="160" t="s">
        <v>191</v>
      </c>
      <c r="G2" s="66"/>
      <c r="H2" s="66"/>
      <c r="I2" s="161" t="s">
        <v>277</v>
      </c>
      <c r="K2" s="21" t="s">
        <v>25</v>
      </c>
      <c r="L2" s="22">
        <v>1.5</v>
      </c>
      <c r="M2" s="17" t="s">
        <v>26</v>
      </c>
    </row>
    <row r="3" spans="1:18" x14ac:dyDescent="0.2">
      <c r="A3" s="68" t="s">
        <v>192</v>
      </c>
      <c r="B3" s="69"/>
      <c r="C3" s="69"/>
      <c r="D3" s="70"/>
      <c r="E3" s="64"/>
      <c r="F3" s="64"/>
      <c r="G3" s="64"/>
      <c r="H3" s="64"/>
      <c r="I3" s="162"/>
      <c r="K3" s="21" t="s">
        <v>27</v>
      </c>
      <c r="L3" s="22">
        <v>1.25</v>
      </c>
      <c r="M3" s="17" t="s">
        <v>28</v>
      </c>
    </row>
    <row r="4" spans="1:18" ht="15" thickBot="1" x14ac:dyDescent="0.25">
      <c r="A4" s="71" t="s">
        <v>22</v>
      </c>
      <c r="B4" s="72"/>
      <c r="C4" s="72"/>
      <c r="D4" s="73" t="str">
        <f>INICIO!$C$29</f>
        <v>I</v>
      </c>
      <c r="E4" s="64" t="str">
        <f>VLOOKUP($D$4,$K$2:$M$5,3,FALSE)</f>
        <v>Estructuras de ocupación normal</v>
      </c>
      <c r="F4" s="64"/>
      <c r="G4" s="64"/>
      <c r="H4" s="64"/>
      <c r="I4" s="162"/>
      <c r="K4" s="21" t="s">
        <v>31</v>
      </c>
      <c r="L4" s="22">
        <v>1.1000000000000001</v>
      </c>
      <c r="M4" s="17" t="s">
        <v>32</v>
      </c>
    </row>
    <row r="5" spans="1:18" ht="15" thickBot="1" x14ac:dyDescent="0.25">
      <c r="A5" s="253" t="s">
        <v>278</v>
      </c>
      <c r="B5" s="164"/>
      <c r="C5" s="165"/>
      <c r="D5" s="165"/>
      <c r="E5" s="165"/>
      <c r="F5" s="165"/>
      <c r="G5" s="165"/>
      <c r="H5" s="165"/>
      <c r="I5" s="166"/>
      <c r="K5" s="24" t="s">
        <v>30</v>
      </c>
      <c r="L5" s="25">
        <v>1</v>
      </c>
      <c r="M5" s="17" t="s">
        <v>33</v>
      </c>
    </row>
    <row r="6" spans="1:18" s="167" customFormat="1" ht="15" thickBot="1" x14ac:dyDescent="0.25">
      <c r="A6" s="54" t="s">
        <v>160</v>
      </c>
      <c r="B6" s="55">
        <f>'2026-PSA-PEREIRA'!J24</f>
        <v>3</v>
      </c>
      <c r="C6" s="64"/>
      <c r="D6" s="64"/>
      <c r="E6" s="64"/>
      <c r="F6" s="64"/>
      <c r="G6" s="64"/>
      <c r="H6" s="64"/>
      <c r="I6" s="162"/>
      <c r="J6" s="17"/>
      <c r="K6" s="168"/>
      <c r="L6" s="169"/>
      <c r="M6" s="169"/>
      <c r="N6" s="169"/>
      <c r="O6" s="169"/>
      <c r="P6" s="169"/>
      <c r="Q6" s="170" t="s">
        <v>235</v>
      </c>
    </row>
    <row r="7" spans="1:18" ht="16.5" thickBot="1" x14ac:dyDescent="0.3">
      <c r="A7" s="171"/>
      <c r="B7" s="64"/>
      <c r="C7" s="64"/>
      <c r="D7" s="64"/>
      <c r="E7" s="64"/>
      <c r="F7" s="64"/>
      <c r="G7" s="64"/>
      <c r="H7" s="64"/>
      <c r="I7" s="162"/>
      <c r="K7" s="172" t="s">
        <v>236</v>
      </c>
      <c r="L7" s="172"/>
      <c r="M7" s="172"/>
      <c r="N7" s="172"/>
    </row>
    <row r="8" spans="1:18" ht="15" thickBot="1" x14ac:dyDescent="0.25">
      <c r="A8" s="173" t="s">
        <v>193</v>
      </c>
      <c r="B8" s="76">
        <f>HLOOKUP($B$6,$K$8:$R$14,5,FALSE)</f>
        <v>0.25</v>
      </c>
      <c r="C8" s="64"/>
      <c r="D8" s="173" t="s">
        <v>197</v>
      </c>
      <c r="E8" s="76">
        <f>HLOOKUP($B$6,$K$8:$R$14,2,FALSE)</f>
        <v>0.1</v>
      </c>
      <c r="F8" s="64"/>
      <c r="G8" s="64"/>
      <c r="H8" s="64"/>
      <c r="I8" s="162"/>
      <c r="K8" s="174"/>
      <c r="L8" s="175">
        <v>1</v>
      </c>
      <c r="M8" s="175">
        <v>2</v>
      </c>
      <c r="N8" s="175">
        <v>3</v>
      </c>
      <c r="O8" s="175">
        <v>4</v>
      </c>
      <c r="P8" s="175">
        <v>5</v>
      </c>
      <c r="Q8" s="175">
        <v>6</v>
      </c>
      <c r="R8" s="175">
        <v>7</v>
      </c>
    </row>
    <row r="9" spans="1:18" x14ac:dyDescent="0.2">
      <c r="A9" s="176" t="s">
        <v>196</v>
      </c>
      <c r="B9" s="80">
        <f>HLOOKUP($B$6,$K$8:$R$14,6,FALSE)</f>
        <v>1.44</v>
      </c>
      <c r="C9" s="64"/>
      <c r="D9" s="176" t="s">
        <v>201</v>
      </c>
      <c r="E9" s="80">
        <f>HLOOKUP($B$6,$K$8:$R$14,3,FALSE)</f>
        <v>0.8</v>
      </c>
      <c r="F9" s="64"/>
      <c r="G9" s="64"/>
      <c r="H9" s="64"/>
      <c r="I9" s="162"/>
      <c r="K9" s="177" t="s">
        <v>237</v>
      </c>
      <c r="L9" s="178">
        <v>0.05</v>
      </c>
      <c r="M9" s="179">
        <v>0.05</v>
      </c>
      <c r="N9" s="179">
        <v>0.1</v>
      </c>
      <c r="O9" s="179">
        <v>0.1</v>
      </c>
      <c r="P9" s="179">
        <v>0.05</v>
      </c>
      <c r="Q9" s="179">
        <v>0.1</v>
      </c>
      <c r="R9" s="180">
        <v>0.05</v>
      </c>
    </row>
    <row r="10" spans="1:18" ht="15" thickBot="1" x14ac:dyDescent="0.25">
      <c r="A10" s="181" t="s">
        <v>200</v>
      </c>
      <c r="B10" s="107">
        <f>HLOOKUP($B$6,$K$8:$R$14,7,FALSE)</f>
        <v>2.4</v>
      </c>
      <c r="C10" s="64"/>
      <c r="D10" s="181" t="s">
        <v>203</v>
      </c>
      <c r="E10" s="107">
        <f>HLOOKUP($B$6,$K$8:$R$14,4,FALSE)</f>
        <v>4</v>
      </c>
      <c r="F10" s="64"/>
      <c r="G10" s="64"/>
      <c r="H10" s="64"/>
      <c r="I10" s="162"/>
      <c r="K10" s="182" t="s">
        <v>238</v>
      </c>
      <c r="L10" s="183">
        <v>0.4</v>
      </c>
      <c r="M10" s="184">
        <v>0.5</v>
      </c>
      <c r="N10" s="184">
        <v>0.8</v>
      </c>
      <c r="O10" s="184">
        <v>0.9</v>
      </c>
      <c r="P10" s="184">
        <v>0.32</v>
      </c>
      <c r="Q10" s="184">
        <v>0.8</v>
      </c>
      <c r="R10" s="185">
        <v>0.7</v>
      </c>
    </row>
    <row r="11" spans="1:18" ht="15" thickBot="1" x14ac:dyDescent="0.25">
      <c r="A11" s="171"/>
      <c r="B11" s="64"/>
      <c r="C11" s="64"/>
      <c r="D11" s="108" t="s">
        <v>202</v>
      </c>
      <c r="E11" s="107">
        <f>VLOOKUP($D$4,$K$2:$L$5,2,FALSE)</f>
        <v>1</v>
      </c>
      <c r="F11" s="64"/>
      <c r="G11" s="64"/>
      <c r="H11" s="64"/>
      <c r="I11" s="162"/>
      <c r="K11" s="182" t="s">
        <v>239</v>
      </c>
      <c r="L11" s="183">
        <v>2</v>
      </c>
      <c r="M11" s="184">
        <v>2.5</v>
      </c>
      <c r="N11" s="184">
        <v>4</v>
      </c>
      <c r="O11" s="184">
        <v>4.5</v>
      </c>
      <c r="P11" s="184">
        <v>1.6</v>
      </c>
      <c r="Q11" s="184">
        <v>4</v>
      </c>
      <c r="R11" s="185">
        <v>3.5</v>
      </c>
    </row>
    <row r="12" spans="1:18" ht="15" thickBot="1" x14ac:dyDescent="0.25">
      <c r="A12" s="171"/>
      <c r="B12" s="64"/>
      <c r="C12" s="64"/>
      <c r="D12" s="64"/>
      <c r="E12" s="64"/>
      <c r="F12" s="64"/>
      <c r="G12" s="64"/>
      <c r="H12" s="64"/>
      <c r="I12" s="162"/>
      <c r="K12" s="182" t="s">
        <v>240</v>
      </c>
      <c r="L12" s="183">
        <v>0.25</v>
      </c>
      <c r="M12" s="184">
        <v>0.25</v>
      </c>
      <c r="N12" s="184">
        <v>0.25</v>
      </c>
      <c r="O12" s="184">
        <v>0.25</v>
      </c>
      <c r="P12" s="184">
        <v>0.25</v>
      </c>
      <c r="Q12" s="184">
        <v>0.25</v>
      </c>
      <c r="R12" s="185">
        <v>0.25</v>
      </c>
    </row>
    <row r="13" spans="1:18" ht="15" thickBot="1" x14ac:dyDescent="0.25">
      <c r="A13" s="117" t="s">
        <v>204</v>
      </c>
      <c r="B13" s="118" t="s">
        <v>205</v>
      </c>
      <c r="C13" s="64"/>
      <c r="D13" s="64"/>
      <c r="E13" s="64"/>
      <c r="F13" s="64"/>
      <c r="G13" s="64"/>
      <c r="H13" s="64"/>
      <c r="I13" s="162"/>
      <c r="K13" s="182" t="s">
        <v>241</v>
      </c>
      <c r="L13" s="183">
        <v>1.76</v>
      </c>
      <c r="M13" s="184">
        <v>1.6</v>
      </c>
      <c r="N13" s="184">
        <v>1.44</v>
      </c>
      <c r="O13" s="184">
        <v>1.28</v>
      </c>
      <c r="P13" s="184">
        <v>1.76</v>
      </c>
      <c r="Q13" s="184">
        <v>1.6</v>
      </c>
      <c r="R13" s="185">
        <v>1.76</v>
      </c>
    </row>
    <row r="14" spans="1:18" ht="15" thickBot="1" x14ac:dyDescent="0.25">
      <c r="A14" s="120">
        <v>0</v>
      </c>
      <c r="B14" s="186">
        <f t="shared" ref="B14:B49" si="0">IF(A14=0,$B$8*$B$9*$E$11*(1+1.5*A14/$E$8),IF(AND(A14&gt;=$E$8,A14&lt;=$E$9),2.5*$B$8*$B$9*$E$11,IF(AND(A14&gt;$E$9,A14&lt;$E$10),1.2*$B$8*$B$10*$E$11/A14,$B$8*$B$9*$E$11/2)))</f>
        <v>0.36</v>
      </c>
      <c r="C14" s="64"/>
      <c r="D14" s="64"/>
      <c r="E14" s="64"/>
      <c r="F14" s="64"/>
      <c r="G14" s="64"/>
      <c r="H14" s="64"/>
      <c r="I14" s="162"/>
      <c r="K14" s="187" t="s">
        <v>242</v>
      </c>
      <c r="L14" s="188">
        <v>1.47</v>
      </c>
      <c r="M14" s="189">
        <v>1.67</v>
      </c>
      <c r="N14" s="189">
        <v>2.4</v>
      </c>
      <c r="O14" s="189">
        <v>2.4</v>
      </c>
      <c r="P14" s="189">
        <v>1.17</v>
      </c>
      <c r="Q14" s="189">
        <v>2.67</v>
      </c>
      <c r="R14" s="190">
        <v>2.57</v>
      </c>
    </row>
    <row r="15" spans="1:18" ht="15" thickBot="1" x14ac:dyDescent="0.25">
      <c r="A15" s="123">
        <f>IF(A14=0,$E$8,IF(A14=$E$8,$E$9,IF(A14=$E$9,TRUNC($E$9+0.1,1),A14+0.1)))</f>
        <v>0.1</v>
      </c>
      <c r="B15" s="191">
        <f t="shared" si="0"/>
        <v>0.89999999999999991</v>
      </c>
      <c r="C15" s="64"/>
      <c r="D15" s="64"/>
      <c r="E15" s="64"/>
      <c r="F15" s="64"/>
      <c r="G15" s="64"/>
      <c r="H15" s="64"/>
      <c r="I15" s="162"/>
    </row>
    <row r="16" spans="1:18" ht="15" thickBot="1" x14ac:dyDescent="0.25">
      <c r="A16" s="123">
        <f t="shared" ref="A16:A49" si="1">IF(A15=0,$E$8,IF(A15=$E$8,$E$9,IF(A15=$E$9,TRUNC($E$9+0.1,1),A15+0.1)))</f>
        <v>0.8</v>
      </c>
      <c r="B16" s="191">
        <f t="shared" si="0"/>
        <v>0.89999999999999991</v>
      </c>
      <c r="C16" s="64"/>
      <c r="D16" s="64"/>
      <c r="E16" s="64"/>
      <c r="F16" s="64"/>
      <c r="G16" s="64"/>
      <c r="H16" s="64"/>
      <c r="I16" s="162"/>
      <c r="K16" s="131" t="str">
        <f>"Espec. Pereira, Zona "&amp;$B$6</f>
        <v>Espec. Pereira, Zona 3</v>
      </c>
      <c r="L16" s="132"/>
      <c r="M16" s="133"/>
      <c r="N16" s="133"/>
      <c r="O16" s="133"/>
      <c r="P16" s="134"/>
    </row>
    <row r="17" spans="1:12" x14ac:dyDescent="0.2">
      <c r="A17" s="123">
        <f t="shared" si="1"/>
        <v>0.9</v>
      </c>
      <c r="B17" s="191">
        <f t="shared" si="0"/>
        <v>0.79999999999999993</v>
      </c>
      <c r="C17" s="64"/>
      <c r="D17" s="64"/>
      <c r="E17" s="64"/>
      <c r="F17" s="64"/>
      <c r="G17" s="64"/>
      <c r="H17" s="64"/>
      <c r="I17" s="162"/>
    </row>
    <row r="18" spans="1:12" x14ac:dyDescent="0.2">
      <c r="A18" s="123">
        <f t="shared" si="1"/>
        <v>1</v>
      </c>
      <c r="B18" s="191">
        <f t="shared" si="0"/>
        <v>0.72</v>
      </c>
      <c r="C18" s="64"/>
      <c r="D18" s="64"/>
      <c r="E18" s="64"/>
      <c r="F18" s="64"/>
      <c r="G18" s="64"/>
      <c r="H18" s="64"/>
      <c r="I18" s="162"/>
    </row>
    <row r="19" spans="1:12" x14ac:dyDescent="0.2">
      <c r="A19" s="123">
        <f t="shared" si="1"/>
        <v>1.1000000000000001</v>
      </c>
      <c r="B19" s="191">
        <f t="shared" si="0"/>
        <v>0.65454545454545443</v>
      </c>
      <c r="C19" s="64"/>
      <c r="D19" s="64"/>
      <c r="E19" s="64"/>
      <c r="F19" s="64"/>
      <c r="G19" s="64"/>
      <c r="H19" s="64"/>
      <c r="I19" s="162"/>
    </row>
    <row r="20" spans="1:12" x14ac:dyDescent="0.2">
      <c r="A20" s="123">
        <f t="shared" si="1"/>
        <v>1.2000000000000002</v>
      </c>
      <c r="B20" s="191">
        <f t="shared" si="0"/>
        <v>0.59999999999999987</v>
      </c>
      <c r="C20" s="64"/>
      <c r="D20" s="64"/>
      <c r="E20" s="64"/>
      <c r="F20" s="64"/>
      <c r="G20" s="64"/>
      <c r="H20" s="64"/>
      <c r="I20" s="162"/>
    </row>
    <row r="21" spans="1:12" x14ac:dyDescent="0.2">
      <c r="A21" s="123">
        <f t="shared" si="1"/>
        <v>1.3000000000000003</v>
      </c>
      <c r="B21" s="191">
        <f t="shared" si="0"/>
        <v>0.55384615384615377</v>
      </c>
      <c r="C21" s="64"/>
      <c r="D21" s="64"/>
      <c r="E21" s="64"/>
      <c r="F21" s="64"/>
      <c r="G21" s="64"/>
      <c r="H21" s="64"/>
      <c r="I21" s="162"/>
    </row>
    <row r="22" spans="1:12" x14ac:dyDescent="0.2">
      <c r="A22" s="123">
        <f t="shared" si="1"/>
        <v>1.4000000000000004</v>
      </c>
      <c r="B22" s="191">
        <f t="shared" si="0"/>
        <v>0.51428571428571412</v>
      </c>
      <c r="C22" s="64"/>
      <c r="D22" s="64"/>
      <c r="E22" s="64"/>
      <c r="F22" s="64"/>
      <c r="G22" s="64"/>
      <c r="H22" s="64"/>
      <c r="I22" s="162"/>
    </row>
    <row r="23" spans="1:12" x14ac:dyDescent="0.2">
      <c r="A23" s="123">
        <f t="shared" si="1"/>
        <v>1.5000000000000004</v>
      </c>
      <c r="B23" s="191">
        <f t="shared" si="0"/>
        <v>0.47999999999999982</v>
      </c>
      <c r="C23" s="64"/>
      <c r="D23" s="64"/>
      <c r="E23" s="64"/>
      <c r="F23" s="64"/>
      <c r="G23" s="64"/>
      <c r="H23" s="64"/>
      <c r="I23" s="162"/>
    </row>
    <row r="24" spans="1:12" x14ac:dyDescent="0.2">
      <c r="A24" s="123">
        <f t="shared" si="1"/>
        <v>1.6000000000000005</v>
      </c>
      <c r="B24" s="191">
        <f t="shared" si="0"/>
        <v>0.44999999999999984</v>
      </c>
      <c r="C24" s="64"/>
      <c r="D24" s="64"/>
      <c r="E24" s="64"/>
      <c r="F24" s="64"/>
      <c r="G24" s="64"/>
      <c r="H24" s="64"/>
      <c r="I24" s="162"/>
    </row>
    <row r="25" spans="1:12" x14ac:dyDescent="0.2">
      <c r="A25" s="123">
        <f t="shared" si="1"/>
        <v>1.7000000000000006</v>
      </c>
      <c r="B25" s="191">
        <f t="shared" si="0"/>
        <v>0.42352941176470571</v>
      </c>
      <c r="C25" s="64"/>
      <c r="D25" s="64"/>
      <c r="E25" s="64"/>
      <c r="F25" s="64"/>
      <c r="G25" s="64"/>
      <c r="H25" s="64"/>
      <c r="I25" s="162"/>
    </row>
    <row r="26" spans="1:12" x14ac:dyDescent="0.2">
      <c r="A26" s="123">
        <f t="shared" si="1"/>
        <v>1.8000000000000007</v>
      </c>
      <c r="B26" s="191">
        <f t="shared" si="0"/>
        <v>0.3999999999999998</v>
      </c>
      <c r="C26" s="64"/>
      <c r="D26" s="64"/>
      <c r="E26" s="64"/>
      <c r="F26" s="64"/>
      <c r="G26" s="64"/>
      <c r="H26" s="64"/>
      <c r="I26" s="162"/>
      <c r="K26" s="246"/>
      <c r="L26" s="246"/>
    </row>
    <row r="27" spans="1:12" x14ac:dyDescent="0.2">
      <c r="A27" s="123">
        <f t="shared" si="1"/>
        <v>1.9000000000000008</v>
      </c>
      <c r="B27" s="191">
        <f t="shared" si="0"/>
        <v>0.37894736842105248</v>
      </c>
      <c r="C27" s="64"/>
      <c r="D27" s="64"/>
      <c r="E27" s="64"/>
      <c r="F27" s="64"/>
      <c r="G27" s="64"/>
      <c r="H27" s="64"/>
      <c r="I27" s="162"/>
    </row>
    <row r="28" spans="1:12" x14ac:dyDescent="0.2">
      <c r="A28" s="123">
        <f t="shared" si="1"/>
        <v>2.0000000000000009</v>
      </c>
      <c r="B28" s="191">
        <f t="shared" si="0"/>
        <v>0.35999999999999982</v>
      </c>
      <c r="C28" s="64"/>
      <c r="D28" s="64"/>
      <c r="E28" s="64"/>
      <c r="F28" s="64"/>
      <c r="G28" s="64"/>
      <c r="H28" s="64"/>
      <c r="I28" s="162"/>
    </row>
    <row r="29" spans="1:12" x14ac:dyDescent="0.2">
      <c r="A29" s="123">
        <f t="shared" si="1"/>
        <v>2.100000000000001</v>
      </c>
      <c r="B29" s="191">
        <f t="shared" si="0"/>
        <v>0.34285714285714269</v>
      </c>
      <c r="C29" s="64"/>
      <c r="D29" s="64"/>
      <c r="E29" s="64"/>
      <c r="F29" s="64"/>
      <c r="G29" s="64"/>
      <c r="H29" s="64"/>
      <c r="I29" s="162"/>
    </row>
    <row r="30" spans="1:12" x14ac:dyDescent="0.2">
      <c r="A30" s="123">
        <f t="shared" si="1"/>
        <v>2.2000000000000011</v>
      </c>
      <c r="B30" s="191">
        <f t="shared" si="0"/>
        <v>0.3272727272727271</v>
      </c>
      <c r="C30" s="64"/>
      <c r="D30" s="64"/>
      <c r="E30" s="64"/>
      <c r="F30" s="64"/>
      <c r="G30" s="64"/>
      <c r="H30" s="64"/>
      <c r="I30" s="162"/>
    </row>
    <row r="31" spans="1:12" x14ac:dyDescent="0.2">
      <c r="A31" s="123">
        <f t="shared" si="1"/>
        <v>2.3000000000000012</v>
      </c>
      <c r="B31" s="191">
        <f t="shared" si="0"/>
        <v>0.31304347826086942</v>
      </c>
      <c r="C31" s="64"/>
      <c r="D31" s="64"/>
      <c r="E31" s="64"/>
      <c r="F31" s="64"/>
      <c r="G31" s="64"/>
      <c r="H31" s="64"/>
      <c r="I31" s="162"/>
    </row>
    <row r="32" spans="1:12" x14ac:dyDescent="0.2">
      <c r="A32" s="123">
        <f t="shared" si="1"/>
        <v>2.4000000000000012</v>
      </c>
      <c r="B32" s="191">
        <f t="shared" si="0"/>
        <v>0.29999999999999982</v>
      </c>
      <c r="C32" s="64"/>
      <c r="D32" s="64"/>
      <c r="E32" s="64"/>
      <c r="F32" s="64"/>
      <c r="G32" s="64"/>
      <c r="H32" s="64"/>
      <c r="I32" s="162"/>
    </row>
    <row r="33" spans="1:12" ht="15" thickBot="1" x14ac:dyDescent="0.25">
      <c r="A33" s="123">
        <f t="shared" si="1"/>
        <v>2.5000000000000013</v>
      </c>
      <c r="B33" s="191">
        <f t="shared" si="0"/>
        <v>0.28799999999999981</v>
      </c>
      <c r="C33" s="64"/>
      <c r="D33" s="64"/>
      <c r="E33" s="64"/>
      <c r="F33" s="64"/>
      <c r="G33" s="64"/>
      <c r="H33" s="64"/>
      <c r="I33" s="162"/>
    </row>
    <row r="34" spans="1:12" x14ac:dyDescent="0.2">
      <c r="A34" s="123">
        <f t="shared" si="1"/>
        <v>2.6000000000000014</v>
      </c>
      <c r="B34" s="191">
        <f t="shared" si="0"/>
        <v>0.27692307692307677</v>
      </c>
      <c r="C34" s="64"/>
      <c r="D34" s="64"/>
      <c r="E34" s="64"/>
      <c r="F34" s="64"/>
      <c r="G34" s="64"/>
      <c r="H34" s="64"/>
      <c r="I34" s="162"/>
      <c r="K34" s="254" t="s">
        <v>279</v>
      </c>
      <c r="L34" s="255" t="s">
        <v>205</v>
      </c>
    </row>
    <row r="35" spans="1:12" x14ac:dyDescent="0.2">
      <c r="A35" s="123">
        <f t="shared" si="1"/>
        <v>2.7000000000000015</v>
      </c>
      <c r="B35" s="191">
        <f t="shared" si="0"/>
        <v>0.2666666666666665</v>
      </c>
      <c r="C35" s="64"/>
      <c r="D35" s="64"/>
      <c r="E35" s="64"/>
      <c r="F35" s="64"/>
      <c r="G35" s="64"/>
      <c r="H35" s="64"/>
      <c r="I35" s="162"/>
      <c r="K35" s="256">
        <v>0.4</v>
      </c>
      <c r="L35" s="22">
        <f t="shared" ref="L35:L36" si="2">IF(K35=0,$B$8*$B$9*$E$11*(1+1.5*K35/$E$8),IF(AND(K35&gt;=$E$8,K35&lt;=$E$9),2.5*$B$8*$B$9*$E$11,IF(AND(K35&gt;$E$9,K35&lt;$E$10),1.2*$B$8*$B$10*$E$11/K35,$B$8*$B$9*$E$11/2)))</f>
        <v>0.89999999999999991</v>
      </c>
    </row>
    <row r="36" spans="1:12" ht="15" thickBot="1" x14ac:dyDescent="0.25">
      <c r="A36" s="123">
        <f t="shared" si="1"/>
        <v>2.8000000000000016</v>
      </c>
      <c r="B36" s="191">
        <f t="shared" si="0"/>
        <v>0.25714285714285701</v>
      </c>
      <c r="C36" s="64"/>
      <c r="D36" s="64"/>
      <c r="E36" s="64"/>
      <c r="F36" s="64"/>
      <c r="G36" s="64"/>
      <c r="H36" s="64"/>
      <c r="I36" s="162"/>
      <c r="K36" s="256">
        <v>0.3019</v>
      </c>
      <c r="L36" s="25">
        <f t="shared" si="2"/>
        <v>0.89999999999999991</v>
      </c>
    </row>
    <row r="37" spans="1:12" x14ac:dyDescent="0.2">
      <c r="A37" s="123">
        <f t="shared" si="1"/>
        <v>2.9000000000000017</v>
      </c>
      <c r="B37" s="191">
        <f t="shared" si="0"/>
        <v>0.24827586206896538</v>
      </c>
      <c r="C37" s="64"/>
      <c r="D37" s="64"/>
      <c r="E37" s="64"/>
      <c r="F37" s="64"/>
      <c r="G37" s="64"/>
      <c r="H37" s="64"/>
      <c r="I37" s="162"/>
    </row>
    <row r="38" spans="1:12" x14ac:dyDescent="0.2">
      <c r="A38" s="123">
        <f t="shared" si="1"/>
        <v>3.0000000000000018</v>
      </c>
      <c r="B38" s="191">
        <f t="shared" si="0"/>
        <v>0.23999999999999985</v>
      </c>
      <c r="C38" s="64"/>
      <c r="D38" s="64"/>
      <c r="E38" s="64"/>
      <c r="F38" s="64"/>
      <c r="G38" s="64"/>
      <c r="H38" s="64"/>
      <c r="I38" s="162"/>
    </row>
    <row r="39" spans="1:12" x14ac:dyDescent="0.2">
      <c r="A39" s="123">
        <f t="shared" si="1"/>
        <v>3.1000000000000019</v>
      </c>
      <c r="B39" s="191">
        <f t="shared" si="0"/>
        <v>0.23225806451612888</v>
      </c>
      <c r="C39" s="64"/>
      <c r="D39" s="64"/>
      <c r="E39" s="64"/>
      <c r="F39" s="64"/>
      <c r="G39" s="64"/>
      <c r="H39" s="64"/>
      <c r="I39" s="162"/>
    </row>
    <row r="40" spans="1:12" x14ac:dyDescent="0.2">
      <c r="A40" s="123">
        <f t="shared" si="1"/>
        <v>3.200000000000002</v>
      </c>
      <c r="B40" s="191">
        <f t="shared" si="0"/>
        <v>0.22499999999999987</v>
      </c>
      <c r="C40" s="64"/>
      <c r="D40" s="64"/>
      <c r="E40" s="64"/>
      <c r="F40" s="64"/>
      <c r="G40" s="64"/>
      <c r="H40" s="64"/>
      <c r="I40" s="162"/>
    </row>
    <row r="41" spans="1:12" x14ac:dyDescent="0.2">
      <c r="A41" s="123">
        <f t="shared" si="1"/>
        <v>3.300000000000002</v>
      </c>
      <c r="B41" s="191">
        <f t="shared" si="0"/>
        <v>0.21818181818181803</v>
      </c>
      <c r="C41" s="64"/>
      <c r="D41" s="64"/>
      <c r="E41" s="64"/>
      <c r="F41" s="64"/>
      <c r="G41" s="64"/>
      <c r="H41" s="64"/>
      <c r="I41" s="162"/>
    </row>
    <row r="42" spans="1:12" x14ac:dyDescent="0.2">
      <c r="A42" s="123">
        <f t="shared" si="1"/>
        <v>3.4000000000000021</v>
      </c>
      <c r="B42" s="191">
        <f t="shared" si="0"/>
        <v>0.2117647058823528</v>
      </c>
      <c r="C42" s="64"/>
      <c r="D42" s="64"/>
      <c r="E42" s="64"/>
      <c r="F42" s="64"/>
      <c r="G42" s="64"/>
      <c r="H42" s="64"/>
      <c r="I42" s="162"/>
    </row>
    <row r="43" spans="1:12" x14ac:dyDescent="0.2">
      <c r="A43" s="123">
        <f t="shared" si="1"/>
        <v>3.5000000000000022</v>
      </c>
      <c r="B43" s="191">
        <f t="shared" si="0"/>
        <v>0.20571428571428557</v>
      </c>
      <c r="C43" s="64"/>
      <c r="D43" s="64"/>
      <c r="E43" s="64"/>
      <c r="F43" s="64"/>
      <c r="G43" s="64"/>
      <c r="H43" s="64"/>
      <c r="I43" s="162"/>
    </row>
    <row r="44" spans="1:12" x14ac:dyDescent="0.2">
      <c r="A44" s="123">
        <f t="shared" si="1"/>
        <v>3.6000000000000023</v>
      </c>
      <c r="B44" s="191">
        <f t="shared" si="0"/>
        <v>0.19999999999999987</v>
      </c>
      <c r="C44" s="64"/>
      <c r="D44" s="64"/>
      <c r="E44" s="64"/>
      <c r="F44" s="64"/>
      <c r="G44" s="64"/>
      <c r="H44" s="64"/>
      <c r="I44" s="162"/>
    </row>
    <row r="45" spans="1:12" x14ac:dyDescent="0.2">
      <c r="A45" s="123">
        <f t="shared" si="1"/>
        <v>3.7000000000000024</v>
      </c>
      <c r="B45" s="191">
        <f t="shared" si="0"/>
        <v>0.19459459459459447</v>
      </c>
      <c r="C45" s="64"/>
      <c r="D45" s="64"/>
      <c r="E45" s="64"/>
      <c r="F45" s="64"/>
      <c r="G45" s="64"/>
      <c r="H45" s="64"/>
      <c r="I45" s="162"/>
    </row>
    <row r="46" spans="1:12" x14ac:dyDescent="0.2">
      <c r="A46" s="123">
        <f t="shared" si="1"/>
        <v>3.8000000000000025</v>
      </c>
      <c r="B46" s="191">
        <f t="shared" si="0"/>
        <v>0.18947368421052618</v>
      </c>
      <c r="C46" s="64"/>
      <c r="D46" s="64"/>
      <c r="E46" s="64"/>
      <c r="F46" s="64"/>
      <c r="G46" s="64"/>
      <c r="H46" s="64"/>
      <c r="I46" s="162"/>
    </row>
    <row r="47" spans="1:12" x14ac:dyDescent="0.2">
      <c r="A47" s="123">
        <f t="shared" si="1"/>
        <v>3.9000000000000026</v>
      </c>
      <c r="B47" s="191">
        <f t="shared" si="0"/>
        <v>0.18461538461538449</v>
      </c>
      <c r="C47" s="64"/>
      <c r="D47" s="64"/>
      <c r="E47" s="64"/>
      <c r="F47" s="64"/>
      <c r="G47" s="64"/>
      <c r="H47" s="64"/>
      <c r="I47" s="162"/>
    </row>
    <row r="48" spans="1:12" x14ac:dyDescent="0.2">
      <c r="A48" s="123">
        <f t="shared" si="1"/>
        <v>4.0000000000000027</v>
      </c>
      <c r="B48" s="191">
        <f t="shared" si="0"/>
        <v>0.18</v>
      </c>
      <c r="C48" s="64"/>
      <c r="D48" s="64"/>
      <c r="E48" s="64"/>
      <c r="F48" s="64"/>
      <c r="G48" s="64"/>
      <c r="H48" s="64"/>
      <c r="I48" s="162"/>
    </row>
    <row r="49" spans="1:9" ht="15" thickBot="1" x14ac:dyDescent="0.25">
      <c r="A49" s="203">
        <f t="shared" si="1"/>
        <v>4.1000000000000023</v>
      </c>
      <c r="B49" s="204">
        <f t="shared" si="0"/>
        <v>0.18</v>
      </c>
      <c r="C49" s="72"/>
      <c r="D49" s="72"/>
      <c r="E49" s="72"/>
      <c r="F49" s="72"/>
      <c r="G49" s="72"/>
      <c r="H49" s="72"/>
      <c r="I49" s="206"/>
    </row>
  </sheetData>
  <mergeCells count="2">
    <mergeCell ref="D1:I1"/>
    <mergeCell ref="K7:N7"/>
  </mergeCells>
  <dataValidations count="2">
    <dataValidation type="list" allowBlank="1" showInputMessage="1" showErrorMessage="1" sqref="D4" xr:uid="{52B66F18-6BC3-4AB4-85C2-7AD35B4F49A3}">
      <formula1>$K$2:$K$5</formula1>
    </dataValidation>
    <dataValidation type="list" allowBlank="1" showInputMessage="1" showErrorMessage="1" sqref="B6" xr:uid="{0534B3D0-C5B6-430C-BC4E-6348BAE71CF0}">
      <formula1>$L$8:$R$8</formula1>
    </dataValidation>
  </dataValidation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107</vt:i4>
      </vt:variant>
    </vt:vector>
  </HeadingPairs>
  <TitlesOfParts>
    <vt:vector size="120" baseType="lpstr">
      <vt:lpstr>INICIO</vt:lpstr>
      <vt:lpstr>2026-PSA-ARMEC</vt:lpstr>
      <vt:lpstr>2026-PSA-CIRS</vt:lpstr>
      <vt:lpstr>2026-PSA-FLND</vt:lpstr>
      <vt:lpstr>2026-PSA-PEREIRA</vt:lpstr>
      <vt:lpstr>2026-PSA-MAN1C</vt:lpstr>
      <vt:lpstr>ESPECTRO_NSR10</vt:lpstr>
      <vt:lpstr>Micro_Armenia</vt:lpstr>
      <vt:lpstr>Micro_Pereira</vt:lpstr>
      <vt:lpstr>Micro_Manizales</vt:lpstr>
      <vt:lpstr>ESPECTRO_CCP2014</vt:lpstr>
      <vt:lpstr>Micro_Bogotá_ESPEC</vt:lpstr>
      <vt:lpstr>BD_Municipios</vt:lpstr>
      <vt:lpstr>Aa</vt:lpstr>
      <vt:lpstr>ESPECTRO_CCP2014!AaARM</vt:lpstr>
      <vt:lpstr>AaARM</vt:lpstr>
      <vt:lpstr>ESPECTRO_CCP2014!AaBOG</vt:lpstr>
      <vt:lpstr>AaBOG</vt:lpstr>
      <vt:lpstr>AaPER</vt:lpstr>
      <vt:lpstr>ESPECTRO_CCP2014!alpha</vt:lpstr>
      <vt:lpstr>alpha</vt:lpstr>
      <vt:lpstr>Amazonas</vt:lpstr>
      <vt:lpstr>AmMAN</vt:lpstr>
      <vt:lpstr>AnMAN</vt:lpstr>
      <vt:lpstr>Antioquia</vt:lpstr>
      <vt:lpstr>Ao</vt:lpstr>
      <vt:lpstr>AoBOG</vt:lpstr>
      <vt:lpstr>Arauca</vt:lpstr>
      <vt:lpstr>ESPECTRO_CCP2014!Área_de_impresión</vt:lpstr>
      <vt:lpstr>ESPECTRO_NSR10!Área_de_impresión</vt:lpstr>
      <vt:lpstr>Micro_Armenia!Área_de_impresión</vt:lpstr>
      <vt:lpstr>Micro_Bogotá_ESPEC!Área_de_impresión</vt:lpstr>
      <vt:lpstr>Micro_Manizales!Área_de_impresión</vt:lpstr>
      <vt:lpstr>Micro_Pereira!Área_de_impresión</vt:lpstr>
      <vt:lpstr>Atlántico</vt:lpstr>
      <vt:lpstr>Av</vt:lpstr>
      <vt:lpstr>ESPECTRO_CCP2014!AvBOG</vt:lpstr>
      <vt:lpstr>AvBOG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ESPECTRO_CCP2014!Ct</vt:lpstr>
      <vt:lpstr>Ct</vt:lpstr>
      <vt:lpstr>Cundinamarca</vt:lpstr>
      <vt:lpstr>ESPECTRO_CCP2014!Departamento</vt:lpstr>
      <vt:lpstr>Departamento</vt:lpstr>
      <vt:lpstr>Distrito</vt:lpstr>
      <vt:lpstr>Fa</vt:lpstr>
      <vt:lpstr>ESPECTRO_CCP2014!FaARM</vt:lpstr>
      <vt:lpstr>FaARM</vt:lpstr>
      <vt:lpstr>ESPECTRO_CCP2014!FaBOG</vt:lpstr>
      <vt:lpstr>FaBOG</vt:lpstr>
      <vt:lpstr>FaMAN</vt:lpstr>
      <vt:lpstr>Fap</vt:lpstr>
      <vt:lpstr>FaPER</vt:lpstr>
      <vt:lpstr>Fpga</vt:lpstr>
      <vt:lpstr>Fv</vt:lpstr>
      <vt:lpstr>ESPECTRO_CCP2014!FvARM</vt:lpstr>
      <vt:lpstr>FvARM</vt:lpstr>
      <vt:lpstr>ESPECTRO_CCP2014!FvBOG</vt:lpstr>
      <vt:lpstr>FvBOG</vt:lpstr>
      <vt:lpstr>FvMAN</vt:lpstr>
      <vt:lpstr>Fvp</vt:lpstr>
      <vt:lpstr>FvPER</vt:lpstr>
      <vt:lpstr>Guainía</vt:lpstr>
      <vt:lpstr>Guaviare</vt:lpstr>
      <vt:lpstr>H</vt:lpstr>
      <vt:lpstr>Huila</vt:lpstr>
      <vt:lpstr>I</vt:lpstr>
      <vt:lpstr>ESPECTRO_CCP2014!IBOG</vt:lpstr>
      <vt:lpstr>IBOG</vt:lpstr>
      <vt:lpstr>ESPECTRO_CCP2014!L</vt:lpstr>
      <vt:lpstr>L</vt:lpstr>
      <vt:lpstr>La_Guajira</vt:lpstr>
      <vt:lpstr>Magdalena</vt:lpstr>
      <vt:lpstr>Meta</vt:lpstr>
      <vt:lpstr>Nariño</vt:lpstr>
      <vt:lpstr>Norte_De_Santander</vt:lpstr>
      <vt:lpstr>PGA</vt:lpstr>
      <vt:lpstr>Putumayo</vt:lpstr>
      <vt:lpstr>Quindío</vt:lpstr>
      <vt:lpstr>Risaralda</vt:lpstr>
      <vt:lpstr>S_1</vt:lpstr>
      <vt:lpstr>ESPECTRO_CCP2014!Sa</vt:lpstr>
      <vt:lpstr>Sa</vt:lpstr>
      <vt:lpstr>San_Andrés</vt:lpstr>
      <vt:lpstr>Santander</vt:lpstr>
      <vt:lpstr>ESPECTRO_CCP2014!Sared</vt:lpstr>
      <vt:lpstr>Sared</vt:lpstr>
      <vt:lpstr>Ss</vt:lpstr>
      <vt:lpstr>Sucre</vt:lpstr>
      <vt:lpstr>ESPECTRO_CCP2014!T</vt:lpstr>
      <vt:lpstr>T</vt:lpstr>
      <vt:lpstr>T_MAN</vt:lpstr>
      <vt:lpstr>ESPECTRO_CCP2014!TBOG</vt:lpstr>
      <vt:lpstr>TBOG</vt:lpstr>
      <vt:lpstr>Tc</vt:lpstr>
      <vt:lpstr>ESPECTRO_CCP2014!TcBOG</vt:lpstr>
      <vt:lpstr>TcBOG</vt:lpstr>
      <vt:lpstr>TcMAN</vt:lpstr>
      <vt:lpstr>Tl</vt:lpstr>
      <vt:lpstr>ESPECTRO_CCP2014!TlBOG</vt:lpstr>
      <vt:lpstr>TlBOG</vt:lpstr>
      <vt:lpstr>TlMAN</vt:lpstr>
      <vt:lpstr>To</vt:lpstr>
      <vt:lpstr>Tolima</vt:lpstr>
      <vt:lpstr>ToMAN</vt:lpstr>
      <vt:lpstr>Top</vt:lpstr>
      <vt:lpstr>Tsp</vt:lpstr>
      <vt:lpstr>Valle</vt:lpstr>
      <vt:lpstr>Vaupés</vt:lpstr>
      <vt:lpstr>Vichada</vt:lpstr>
      <vt:lpstr>ESPECTRO_CCP2014!W</vt:lpstr>
      <vt:lpstr>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MAURICIO QUINTERO SUAREZ</dc:creator>
  <cp:lastModifiedBy>CARLOS MAURICIO QUINTERO SUAREZ</cp:lastModifiedBy>
  <dcterms:created xsi:type="dcterms:W3CDTF">2026-09-10T19:06:38Z</dcterms:created>
  <dcterms:modified xsi:type="dcterms:W3CDTF">2026-09-10T19:15:26Z</dcterms:modified>
</cp:coreProperties>
</file>